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R93" i="1"/>
  <c r="CS93"/>
  <c r="CT93"/>
  <c r="CU93"/>
  <c r="CV93"/>
  <c r="CW93"/>
  <c r="CX93"/>
  <c r="CY93"/>
  <c r="CZ93"/>
  <c r="DA93"/>
  <c r="DB93"/>
  <c r="DC93"/>
  <c r="DD93"/>
  <c r="DE93"/>
  <c r="DF93"/>
  <c r="CR94"/>
  <c r="CS94"/>
  <c r="CT94"/>
  <c r="CU94"/>
  <c r="CV94"/>
  <c r="CW94"/>
  <c r="CX94"/>
  <c r="CY94"/>
  <c r="CZ94"/>
  <c r="DA94"/>
  <c r="DB94"/>
  <c r="DC94"/>
  <c r="DD94"/>
  <c r="DE94"/>
  <c r="DF94"/>
  <c r="CR95"/>
  <c r="CS95"/>
  <c r="CT95"/>
  <c r="CU95"/>
  <c r="CV95"/>
  <c r="CW95"/>
  <c r="CX95"/>
  <c r="CY95"/>
  <c r="CZ95"/>
  <c r="DA95"/>
  <c r="DB95"/>
  <c r="DC95"/>
  <c r="DD95"/>
  <c r="DE95"/>
  <c r="DF95"/>
  <c r="L8"/>
  <c r="O8"/>
  <c r="W8" s="1"/>
  <c r="Y8" s="1"/>
  <c r="T8"/>
  <c r="AK8"/>
  <c r="BC8"/>
  <c r="BP8"/>
  <c r="BS8" s="1"/>
  <c r="EC8"/>
  <c r="EH8"/>
  <c r="EN8" s="1"/>
  <c r="EP8"/>
  <c r="ER8"/>
  <c r="ET8" s="1"/>
  <c r="EU8" s="1"/>
  <c r="L9"/>
  <c r="T9"/>
  <c r="X9" s="1"/>
  <c r="Z9" s="1"/>
  <c r="V9"/>
  <c r="BP9"/>
  <c r="BS9" s="1"/>
  <c r="EC9"/>
  <c r="EP9"/>
  <c r="ER9"/>
  <c r="ET9" s="1"/>
  <c r="EU9" s="1"/>
  <c r="L10"/>
  <c r="N10"/>
  <c r="R10"/>
  <c r="S10"/>
  <c r="T10" s="1"/>
  <c r="X10" s="1"/>
  <c r="Z10" s="1"/>
  <c r="BP10"/>
  <c r="BS10"/>
  <c r="EC10"/>
  <c r="EP10"/>
  <c r="L11"/>
  <c r="O11"/>
  <c r="T11"/>
  <c r="X11" s="1"/>
  <c r="Z11" s="1"/>
  <c r="BP11"/>
  <c r="BS11"/>
  <c r="EC11"/>
  <c r="EP11"/>
  <c r="EQ11"/>
  <c r="ER11"/>
  <c r="ET11"/>
  <c r="EU11" s="1"/>
  <c r="L12"/>
  <c r="N12"/>
  <c r="O12" s="1"/>
  <c r="R12"/>
  <c r="S12"/>
  <c r="T12"/>
  <c r="X12" s="1"/>
  <c r="Z12"/>
  <c r="BP12"/>
  <c r="BS12"/>
  <c r="EC12"/>
  <c r="EP12"/>
  <c r="ER12"/>
  <c r="ET12" s="1"/>
  <c r="EU12" s="1"/>
  <c r="L13"/>
  <c r="M13"/>
  <c r="N13"/>
  <c r="O13"/>
  <c r="EL13" s="1"/>
  <c r="R13"/>
  <c r="T13" s="1"/>
  <c r="X13" s="1"/>
  <c r="Z13" s="1"/>
  <c r="S13"/>
  <c r="W13"/>
  <c r="Y13" s="1"/>
  <c r="AK13" s="1"/>
  <c r="AC13"/>
  <c r="AQ13"/>
  <c r="BP13"/>
  <c r="BS13" s="1"/>
  <c r="EC13"/>
  <c r="EN13" s="1"/>
  <c r="EH13"/>
  <c r="EP13"/>
  <c r="ER13"/>
  <c r="ET13" s="1"/>
  <c r="EU13" s="1"/>
  <c r="L14"/>
  <c r="O14"/>
  <c r="W14" s="1"/>
  <c r="Y14" s="1"/>
  <c r="N14"/>
  <c r="R14"/>
  <c r="T14" s="1"/>
  <c r="X14" s="1"/>
  <c r="Z14" s="1"/>
  <c r="S14"/>
  <c r="AD14"/>
  <c r="BP14"/>
  <c r="BS14" s="1"/>
  <c r="EC14"/>
  <c r="EH14"/>
  <c r="EN14" s="1"/>
  <c r="EL14"/>
  <c r="EP14"/>
  <c r="EQ14"/>
  <c r="ER14"/>
  <c r="L15"/>
  <c r="M15"/>
  <c r="N15"/>
  <c r="Q15"/>
  <c r="Q93" s="1"/>
  <c r="Q100" s="1"/>
  <c r="R15"/>
  <c r="T15" s="1"/>
  <c r="S15"/>
  <c r="V15"/>
  <c r="BP15"/>
  <c r="BS15"/>
  <c r="EC15"/>
  <c r="EP15"/>
  <c r="L16"/>
  <c r="M16"/>
  <c r="N16"/>
  <c r="O16"/>
  <c r="R16"/>
  <c r="T16" s="1"/>
  <c r="X16" s="1"/>
  <c r="Z16" s="1"/>
  <c r="S16"/>
  <c r="W16"/>
  <c r="Y16" s="1"/>
  <c r="AK16" s="1"/>
  <c r="AC16"/>
  <c r="AQ16"/>
  <c r="BP16"/>
  <c r="BS16" s="1"/>
  <c r="EC16"/>
  <c r="EN16" s="1"/>
  <c r="EL16"/>
  <c r="EP16"/>
  <c r="ER16"/>
  <c r="ET16" s="1"/>
  <c r="EU16" s="1"/>
  <c r="L17"/>
  <c r="T17"/>
  <c r="X17" s="1"/>
  <c r="Z17" s="1"/>
  <c r="BP17"/>
  <c r="EC17"/>
  <c r="EN17"/>
  <c r="EP17"/>
  <c r="L18"/>
  <c r="M18"/>
  <c r="N18"/>
  <c r="O18"/>
  <c r="EL18" s="1"/>
  <c r="R18"/>
  <c r="T18" s="1"/>
  <c r="S18"/>
  <c r="W18"/>
  <c r="Y18" s="1"/>
  <c r="X18"/>
  <c r="Z18" s="1"/>
  <c r="AL18" s="1"/>
  <c r="BB18"/>
  <c r="BP18"/>
  <c r="BS18"/>
  <c r="EC18"/>
  <c r="EN18" s="1"/>
  <c r="EP18"/>
  <c r="ER18"/>
  <c r="ET18" s="1"/>
  <c r="EU18" s="1"/>
  <c r="L19"/>
  <c r="M19"/>
  <c r="O19" s="1"/>
  <c r="W19" s="1"/>
  <c r="N19"/>
  <c r="R19"/>
  <c r="T19" s="1"/>
  <c r="X19" s="1"/>
  <c r="Z19" s="1"/>
  <c r="S19"/>
  <c r="Y19"/>
  <c r="BP19"/>
  <c r="BS19" s="1"/>
  <c r="EC19"/>
  <c r="EH19"/>
  <c r="EN19" s="1"/>
  <c r="EL19"/>
  <c r="EP19"/>
  <c r="ER19"/>
  <c r="ET19" s="1"/>
  <c r="EU19" s="1"/>
  <c r="L20"/>
  <c r="N20"/>
  <c r="R20"/>
  <c r="S20"/>
  <c r="T20"/>
  <c r="X20" s="1"/>
  <c r="Z20" s="1"/>
  <c r="BP20"/>
  <c r="BS20" s="1"/>
  <c r="EC20"/>
  <c r="EN20"/>
  <c r="EP20"/>
  <c r="L21"/>
  <c r="N21"/>
  <c r="O21"/>
  <c r="EL21" s="1"/>
  <c r="R21"/>
  <c r="T21" s="1"/>
  <c r="S21"/>
  <c r="W21"/>
  <c r="Y21" s="1"/>
  <c r="AK21" s="1"/>
  <c r="X21"/>
  <c r="Z21" s="1"/>
  <c r="AL21" s="1"/>
  <c r="AD21"/>
  <c r="AR21"/>
  <c r="BP21"/>
  <c r="BS21" s="1"/>
  <c r="EC21"/>
  <c r="EP21"/>
  <c r="ER21"/>
  <c r="ET21" s="1"/>
  <c r="EU21" s="1"/>
  <c r="L22"/>
  <c r="O22"/>
  <c r="W22" s="1"/>
  <c r="Y22" s="1"/>
  <c r="AK22" s="1"/>
  <c r="BP22"/>
  <c r="BS22" s="1"/>
  <c r="EC22"/>
  <c r="EP22"/>
  <c r="L23"/>
  <c r="O23"/>
  <c r="EL23" s="1"/>
  <c r="T23"/>
  <c r="X23" s="1"/>
  <c r="Z23" s="1"/>
  <c r="BP23"/>
  <c r="BQ23"/>
  <c r="EC23"/>
  <c r="EP23"/>
  <c r="EQ23"/>
  <c r="ER23"/>
  <c r="ET23" s="1"/>
  <c r="EU23" s="1"/>
  <c r="L24"/>
  <c r="M24"/>
  <c r="O24" s="1"/>
  <c r="EL24" s="1"/>
  <c r="N24"/>
  <c r="Q24"/>
  <c r="R24"/>
  <c r="T24" s="1"/>
  <c r="S24"/>
  <c r="V24"/>
  <c r="X24"/>
  <c r="Z24" s="1"/>
  <c r="AR24" s="1"/>
  <c r="BP24"/>
  <c r="BS24"/>
  <c r="EC24"/>
  <c r="EH24"/>
  <c r="EP24"/>
  <c r="L25"/>
  <c r="T25"/>
  <c r="X25" s="1"/>
  <c r="Z25" s="1"/>
  <c r="AR25" s="1"/>
  <c r="BP25"/>
  <c r="BS25" s="1"/>
  <c r="EC25"/>
  <c r="EP25"/>
  <c r="L26"/>
  <c r="EL26"/>
  <c r="N26"/>
  <c r="R26"/>
  <c r="S26"/>
  <c r="T26" s="1"/>
  <c r="BP26"/>
  <c r="BS26" s="1"/>
  <c r="EC26"/>
  <c r="L27"/>
  <c r="O27"/>
  <c r="T27"/>
  <c r="BJ27"/>
  <c r="EC27"/>
  <c r="ED27"/>
  <c r="EG27"/>
  <c r="EH27"/>
  <c r="EN27" s="1"/>
  <c r="EO27"/>
  <c r="ER27"/>
  <c r="L28"/>
  <c r="M28"/>
  <c r="N28"/>
  <c r="O28"/>
  <c r="EL28" s="1"/>
  <c r="R28"/>
  <c r="T28" s="1"/>
  <c r="S28"/>
  <c r="W28"/>
  <c r="Y28" s="1"/>
  <c r="AK28" s="1"/>
  <c r="X28"/>
  <c r="Z28" s="1"/>
  <c r="AL28" s="1"/>
  <c r="AD28"/>
  <c r="AO28"/>
  <c r="AP28"/>
  <c r="BP28"/>
  <c r="BS28" s="1"/>
  <c r="EC28"/>
  <c r="EN28" s="1"/>
  <c r="EH28"/>
  <c r="EP28"/>
  <c r="ER28"/>
  <c r="ET28" s="1"/>
  <c r="EU28" s="1"/>
  <c r="J29"/>
  <c r="L29"/>
  <c r="M29"/>
  <c r="N29"/>
  <c r="O29"/>
  <c r="W29" s="1"/>
  <c r="Y29" s="1"/>
  <c r="R29"/>
  <c r="T29" s="1"/>
  <c r="S29"/>
  <c r="X29"/>
  <c r="Z29" s="1"/>
  <c r="BP29"/>
  <c r="L30"/>
  <c r="M30"/>
  <c r="N30"/>
  <c r="R30"/>
  <c r="S30"/>
  <c r="T30" s="1"/>
  <c r="X30" s="1"/>
  <c r="Z30" s="1"/>
  <c r="BG30"/>
  <c r="BP30"/>
  <c r="L31"/>
  <c r="M31"/>
  <c r="N31"/>
  <c r="R31"/>
  <c r="T31" s="1"/>
  <c r="X31" s="1"/>
  <c r="Z31" s="1"/>
  <c r="S31"/>
  <c r="BB31"/>
  <c r="BP31"/>
  <c r="BS31" s="1"/>
  <c r="EC31"/>
  <c r="EP31"/>
  <c r="EQ31"/>
  <c r="L32"/>
  <c r="M32"/>
  <c r="R32"/>
  <c r="BP32"/>
  <c r="BS32" s="1"/>
  <c r="EC32"/>
  <c r="EP32"/>
  <c r="ER32"/>
  <c r="ET32" s="1"/>
  <c r="EU32" s="1"/>
  <c r="L33"/>
  <c r="T33"/>
  <c r="X33" s="1"/>
  <c r="Z33" s="1"/>
  <c r="AD33" s="1"/>
  <c r="BP33"/>
  <c r="BS33" s="1"/>
  <c r="EN33"/>
  <c r="EP33"/>
  <c r="L34"/>
  <c r="O34"/>
  <c r="T34"/>
  <c r="X34" s="1"/>
  <c r="Z34" s="1"/>
  <c r="W34"/>
  <c r="Y34" s="1"/>
  <c r="AK34" s="1"/>
  <c r="AD34"/>
  <c r="BB34"/>
  <c r="BP34"/>
  <c r="BS34"/>
  <c r="EC34"/>
  <c r="EP34"/>
  <c r="ER34"/>
  <c r="ET34" s="1"/>
  <c r="EU34" s="1"/>
  <c r="L35"/>
  <c r="N35"/>
  <c r="O35"/>
  <c r="R35"/>
  <c r="T35" s="1"/>
  <c r="X35" s="1"/>
  <c r="Z35" s="1"/>
  <c r="S35"/>
  <c r="W35"/>
  <c r="Y35" s="1"/>
  <c r="AK35" s="1"/>
  <c r="AD35"/>
  <c r="AQ35"/>
  <c r="BB35"/>
  <c r="BP35"/>
  <c r="BS35"/>
  <c r="EC35"/>
  <c r="EP35"/>
  <c r="ER35"/>
  <c r="ET35" s="1"/>
  <c r="EU35" s="1"/>
  <c r="L36"/>
  <c r="M36"/>
  <c r="N36"/>
  <c r="O36"/>
  <c r="R36"/>
  <c r="T36" s="1"/>
  <c r="X36" s="1"/>
  <c r="Z36" s="1"/>
  <c r="AL36" s="1"/>
  <c r="S36"/>
  <c r="BP36"/>
  <c r="BQ36" s="1"/>
  <c r="EC36"/>
  <c r="EN36" s="1"/>
  <c r="ED36"/>
  <c r="EG36"/>
  <c r="EO36"/>
  <c r="EQ36"/>
  <c r="ER36"/>
  <c r="ET36" s="1"/>
  <c r="EU36" s="1"/>
  <c r="L37"/>
  <c r="BP37"/>
  <c r="BS37" s="1"/>
  <c r="EC37"/>
  <c r="EP37"/>
  <c r="EQ37"/>
  <c r="ER37"/>
  <c r="ET37" s="1"/>
  <c r="EU37" s="1"/>
  <c r="L38"/>
  <c r="M38"/>
  <c r="O38" s="1"/>
  <c r="W38" s="1"/>
  <c r="Y38" s="1"/>
  <c r="N38"/>
  <c r="R38"/>
  <c r="S38"/>
  <c r="T38"/>
  <c r="X38" s="1"/>
  <c r="Z38" s="1"/>
  <c r="AD38" s="1"/>
  <c r="AL38"/>
  <c r="BP38"/>
  <c r="BS38"/>
  <c r="EC38"/>
  <c r="EH38"/>
  <c r="L39"/>
  <c r="N39"/>
  <c r="O39"/>
  <c r="EH39" s="1"/>
  <c r="R39"/>
  <c r="S39"/>
  <c r="T39"/>
  <c r="X39" s="1"/>
  <c r="Z39"/>
  <c r="AD39" s="1"/>
  <c r="BP39"/>
  <c r="BS39"/>
  <c r="EC39"/>
  <c r="EC93" s="1"/>
  <c r="L40"/>
  <c r="M40"/>
  <c r="O40"/>
  <c r="W40" s="1"/>
  <c r="Y40" s="1"/>
  <c r="AC40"/>
  <c r="AK40" s="1"/>
  <c r="AO40" s="1"/>
  <c r="AU40" s="1"/>
  <c r="BP40"/>
  <c r="EC40"/>
  <c r="L41"/>
  <c r="M41"/>
  <c r="N41"/>
  <c r="O41"/>
  <c r="W41" s="1"/>
  <c r="Y41" s="1"/>
  <c r="AK41" s="1"/>
  <c r="AU41"/>
  <c r="BB41"/>
  <c r="BP41"/>
  <c r="EC41"/>
  <c r="L42"/>
  <c r="O42"/>
  <c r="R42"/>
  <c r="T42" s="1"/>
  <c r="W42"/>
  <c r="Y42" s="1"/>
  <c r="X42"/>
  <c r="Z42" s="1"/>
  <c r="AD42" s="1"/>
  <c r="AL42" s="1"/>
  <c r="AP42" s="1"/>
  <c r="AV42" s="1"/>
  <c r="BG42"/>
  <c r="BP42"/>
  <c r="BR42"/>
  <c r="BT42"/>
  <c r="BU42"/>
  <c r="EC42"/>
  <c r="J43"/>
  <c r="L43"/>
  <c r="M43"/>
  <c r="N43"/>
  <c r="R43"/>
  <c r="T43"/>
  <c r="X43" s="1"/>
  <c r="W43"/>
  <c r="Y43" s="1"/>
  <c r="AK43" s="1"/>
  <c r="AU43" s="1"/>
  <c r="Z43"/>
  <c r="AD43" s="1"/>
  <c r="AL43" s="1"/>
  <c r="AP43" s="1"/>
  <c r="AC43"/>
  <c r="AO43"/>
  <c r="AV43"/>
  <c r="BD43"/>
  <c r="BP43"/>
  <c r="EC43"/>
  <c r="EH43"/>
  <c r="L44"/>
  <c r="M44"/>
  <c r="N44"/>
  <c r="O44"/>
  <c r="R44"/>
  <c r="T44" s="1"/>
  <c r="S44"/>
  <c r="X44"/>
  <c r="Z44" s="1"/>
  <c r="BP44"/>
  <c r="BS44" s="1"/>
  <c r="EC44"/>
  <c r="EP44"/>
  <c r="ER44"/>
  <c r="ET44" s="1"/>
  <c r="EU44" s="1"/>
  <c r="L45"/>
  <c r="M45"/>
  <c r="O45" s="1"/>
  <c r="W45" s="1"/>
  <c r="N45"/>
  <c r="R45"/>
  <c r="T45" s="1"/>
  <c r="X45" s="1"/>
  <c r="Z45" s="1"/>
  <c r="S45"/>
  <c r="Y45"/>
  <c r="AD45"/>
  <c r="BB45"/>
  <c r="BP45"/>
  <c r="EC45"/>
  <c r="EH45"/>
  <c r="EN45" s="1"/>
  <c r="EL45"/>
  <c r="EP45"/>
  <c r="ER45"/>
  <c r="ET45" s="1"/>
  <c r="EU45" s="1"/>
  <c r="M46"/>
  <c r="N46"/>
  <c r="O46" s="1"/>
  <c r="R46"/>
  <c r="S46"/>
  <c r="T46"/>
  <c r="X46" s="1"/>
  <c r="Z46" s="1"/>
  <c r="AD46" s="1"/>
  <c r="BP46"/>
  <c r="BQ46"/>
  <c r="EC46"/>
  <c r="EP46"/>
  <c r="ER46"/>
  <c r="ET46" s="1"/>
  <c r="EU46" s="1"/>
  <c r="L47"/>
  <c r="M47"/>
  <c r="N47"/>
  <c r="R47"/>
  <c r="T47" s="1"/>
  <c r="X47" s="1"/>
  <c r="Z47" s="1"/>
  <c r="S47"/>
  <c r="BP47"/>
  <c r="BP95" s="1"/>
  <c r="EC47"/>
  <c r="EN47"/>
  <c r="EP47"/>
  <c r="L48"/>
  <c r="L94" s="1"/>
  <c r="M48"/>
  <c r="N48"/>
  <c r="O48"/>
  <c r="R48"/>
  <c r="S48"/>
  <c r="BP48"/>
  <c r="BS48" s="1"/>
  <c r="EC48"/>
  <c r="EN48" s="1"/>
  <c r="EP48"/>
  <c r="ER48"/>
  <c r="ET48" s="1"/>
  <c r="EU48" s="1"/>
  <c r="L49"/>
  <c r="N49"/>
  <c r="S49"/>
  <c r="T49"/>
  <c r="X49" s="1"/>
  <c r="Z49" s="1"/>
  <c r="AL49" s="1"/>
  <c r="BP49"/>
  <c r="BS49" s="1"/>
  <c r="EC49"/>
  <c r="EN49"/>
  <c r="EP49"/>
  <c r="L50"/>
  <c r="M50"/>
  <c r="N50"/>
  <c r="O50"/>
  <c r="R50"/>
  <c r="T50" s="1"/>
  <c r="S50"/>
  <c r="W50"/>
  <c r="Y50" s="1"/>
  <c r="X50"/>
  <c r="Z50" s="1"/>
  <c r="AL50" s="1"/>
  <c r="AD50"/>
  <c r="AR50"/>
  <c r="BB50"/>
  <c r="BP50"/>
  <c r="BR50"/>
  <c r="BR94" s="1"/>
  <c r="EC50"/>
  <c r="L51"/>
  <c r="M51"/>
  <c r="O51" s="1"/>
  <c r="N51"/>
  <c r="R51"/>
  <c r="T51" s="1"/>
  <c r="S51"/>
  <c r="X51"/>
  <c r="Z51" s="1"/>
  <c r="AP51"/>
  <c r="BP51"/>
  <c r="EC51"/>
  <c r="ER51"/>
  <c r="L52"/>
  <c r="O52"/>
  <c r="EL52" s="1"/>
  <c r="T52"/>
  <c r="X52" s="1"/>
  <c r="Z52" s="1"/>
  <c r="BP52"/>
  <c r="BS52"/>
  <c r="EC52"/>
  <c r="EN52" s="1"/>
  <c r="EP52"/>
  <c r="ER52"/>
  <c r="ET52" s="1"/>
  <c r="EU52" s="1"/>
  <c r="L53"/>
  <c r="M53"/>
  <c r="N53"/>
  <c r="R53"/>
  <c r="T53" s="1"/>
  <c r="X53" s="1"/>
  <c r="Z53" s="1"/>
  <c r="S53"/>
  <c r="AD53"/>
  <c r="BP53"/>
  <c r="EC53"/>
  <c r="EP53"/>
  <c r="L54"/>
  <c r="O54"/>
  <c r="T54"/>
  <c r="X54" s="1"/>
  <c r="Z54" s="1"/>
  <c r="AL54" s="1"/>
  <c r="BP54"/>
  <c r="BS54"/>
  <c r="EC54"/>
  <c r="EN54" s="1"/>
  <c r="EP54"/>
  <c r="ER54"/>
  <c r="ET54" s="1"/>
  <c r="EU54" s="1"/>
  <c r="L55"/>
  <c r="BP55"/>
  <c r="BS55" s="1"/>
  <c r="EC55"/>
  <c r="EN55"/>
  <c r="EP55"/>
  <c r="L56"/>
  <c r="M56"/>
  <c r="N56"/>
  <c r="O56"/>
  <c r="EH56" s="1"/>
  <c r="EN56" s="1"/>
  <c r="R56"/>
  <c r="S56"/>
  <c r="T56"/>
  <c r="X56" s="1"/>
  <c r="W56"/>
  <c r="Y56" s="1"/>
  <c r="Z56"/>
  <c r="BB56"/>
  <c r="BP56"/>
  <c r="BR56" s="1"/>
  <c r="EC56"/>
  <c r="EP56"/>
  <c r="ER56"/>
  <c r="L57"/>
  <c r="M57"/>
  <c r="O57" s="1"/>
  <c r="W57" s="1"/>
  <c r="Y57" s="1"/>
  <c r="N57"/>
  <c r="R57"/>
  <c r="T57" s="1"/>
  <c r="X57" s="1"/>
  <c r="Z57" s="1"/>
  <c r="S57"/>
  <c r="AK57"/>
  <c r="BB57"/>
  <c r="BP57"/>
  <c r="BR57" s="1"/>
  <c r="EC57"/>
  <c r="L58"/>
  <c r="M58"/>
  <c r="N58"/>
  <c r="O58"/>
  <c r="R58"/>
  <c r="T58" s="1"/>
  <c r="S58"/>
  <c r="W58"/>
  <c r="Y58" s="1"/>
  <c r="X58"/>
  <c r="Z58" s="1"/>
  <c r="AR58"/>
  <c r="BB58"/>
  <c r="BP58"/>
  <c r="BR58"/>
  <c r="EC58"/>
  <c r="EC95" s="1"/>
  <c r="L59"/>
  <c r="M59"/>
  <c r="N59"/>
  <c r="O59"/>
  <c r="R59"/>
  <c r="S59"/>
  <c r="T59"/>
  <c r="X59" s="1"/>
  <c r="Z59" s="1"/>
  <c r="W59"/>
  <c r="Y59" s="1"/>
  <c r="AL59"/>
  <c r="BP59"/>
  <c r="BS59"/>
  <c r="EC59"/>
  <c r="EP59"/>
  <c r="ER59"/>
  <c r="ET59" s="1"/>
  <c r="EU59"/>
  <c r="L60"/>
  <c r="M60"/>
  <c r="N60"/>
  <c r="O60"/>
  <c r="R60"/>
  <c r="T60" s="1"/>
  <c r="S60"/>
  <c r="X60"/>
  <c r="Z60" s="1"/>
  <c r="BP60"/>
  <c r="BS60" s="1"/>
  <c r="EC60"/>
  <c r="EP60"/>
  <c r="ER60"/>
  <c r="ET60" s="1"/>
  <c r="EU60" s="1"/>
  <c r="L61"/>
  <c r="M61"/>
  <c r="N61"/>
  <c r="R61"/>
  <c r="T61" s="1"/>
  <c r="X61" s="1"/>
  <c r="Z61" s="1"/>
  <c r="S61"/>
  <c r="AD61"/>
  <c r="BP61"/>
  <c r="BS61" s="1"/>
  <c r="EC61"/>
  <c r="EN61"/>
  <c r="EP61"/>
  <c r="L62"/>
  <c r="O62"/>
  <c r="T62"/>
  <c r="X62" s="1"/>
  <c r="Z62" s="1"/>
  <c r="BB62"/>
  <c r="BP62"/>
  <c r="BQ62" s="1"/>
  <c r="EC62"/>
  <c r="EP62"/>
  <c r="ER62"/>
  <c r="ET62" s="1"/>
  <c r="EU62" s="1"/>
  <c r="L63"/>
  <c r="M63"/>
  <c r="N63"/>
  <c r="O63"/>
  <c r="EL63" s="1"/>
  <c r="R63"/>
  <c r="S63"/>
  <c r="T63"/>
  <c r="X63" s="1"/>
  <c r="W63"/>
  <c r="Y63" s="1"/>
  <c r="AK63" s="1"/>
  <c r="Z63"/>
  <c r="AL63" s="1"/>
  <c r="BP63"/>
  <c r="BS63"/>
  <c r="EC63"/>
  <c r="EN63" s="1"/>
  <c r="EP63"/>
  <c r="EQ63"/>
  <c r="ET63" s="1"/>
  <c r="ER63"/>
  <c r="EU63"/>
  <c r="L64"/>
  <c r="M64"/>
  <c r="N64"/>
  <c r="O64"/>
  <c r="W64" s="1"/>
  <c r="Y64" s="1"/>
  <c r="R64"/>
  <c r="T64" s="1"/>
  <c r="S64"/>
  <c r="X64"/>
  <c r="Z64" s="1"/>
  <c r="EC64"/>
  <c r="EN64" s="1"/>
  <c r="EH64"/>
  <c r="EP64"/>
  <c r="ER64"/>
  <c r="ET64"/>
  <c r="EU64" s="1"/>
  <c r="L65"/>
  <c r="M65"/>
  <c r="O65" s="1"/>
  <c r="N65"/>
  <c r="R65"/>
  <c r="S65"/>
  <c r="T65" s="1"/>
  <c r="X65" s="1"/>
  <c r="Z65" s="1"/>
  <c r="BP65"/>
  <c r="EC65"/>
  <c r="EN65" s="1"/>
  <c r="EP65"/>
  <c r="ER65"/>
  <c r="ET65" s="1"/>
  <c r="EU65" s="1"/>
  <c r="L66"/>
  <c r="M66"/>
  <c r="N66"/>
  <c r="R66"/>
  <c r="T66" s="1"/>
  <c r="S66"/>
  <c r="X66"/>
  <c r="Z66" s="1"/>
  <c r="BP66"/>
  <c r="EC66"/>
  <c r="EP66"/>
  <c r="L67"/>
  <c r="M67"/>
  <c r="N67"/>
  <c r="O67" s="1"/>
  <c r="R67"/>
  <c r="S67"/>
  <c r="T67"/>
  <c r="X67" s="1"/>
  <c r="Z67"/>
  <c r="BP67"/>
  <c r="BS67"/>
  <c r="EC67"/>
  <c r="EP67"/>
  <c r="ER67"/>
  <c r="ET67" s="1"/>
  <c r="EU67" s="1"/>
  <c r="L68"/>
  <c r="M68"/>
  <c r="O68" s="1"/>
  <c r="W68"/>
  <c r="Y68" s="1"/>
  <c r="BP68"/>
  <c r="BS68"/>
  <c r="L69"/>
  <c r="O69"/>
  <c r="EL69" s="1"/>
  <c r="T69"/>
  <c r="X69" s="1"/>
  <c r="Z69" s="1"/>
  <c r="AR69" s="1"/>
  <c r="BP69"/>
  <c r="BS69" s="1"/>
  <c r="EC69"/>
  <c r="EP69"/>
  <c r="EP94" s="1"/>
  <c r="EP95" s="1"/>
  <c r="ER69"/>
  <c r="ET69" s="1"/>
  <c r="EU69" s="1"/>
  <c r="L70"/>
  <c r="N70"/>
  <c r="T70"/>
  <c r="X70" s="1"/>
  <c r="Z70" s="1"/>
  <c r="S70"/>
  <c r="BP70"/>
  <c r="EC70"/>
  <c r="EN70"/>
  <c r="EP70"/>
  <c r="L71"/>
  <c r="M71"/>
  <c r="ER71" s="1"/>
  <c r="N71"/>
  <c r="O71"/>
  <c r="W71" s="1"/>
  <c r="Y71" s="1"/>
  <c r="R71"/>
  <c r="T71" s="1"/>
  <c r="S71"/>
  <c r="X71"/>
  <c r="Z71" s="1"/>
  <c r="AL71" s="1"/>
  <c r="AR71"/>
  <c r="BP71"/>
  <c r="EC71"/>
  <c r="EN71"/>
  <c r="EP71"/>
  <c r="ET71"/>
  <c r="EU71"/>
  <c r="L72"/>
  <c r="N72"/>
  <c r="O72"/>
  <c r="EL72" s="1"/>
  <c r="R72"/>
  <c r="S72"/>
  <c r="T72"/>
  <c r="X72" s="1"/>
  <c r="Z72"/>
  <c r="BP72"/>
  <c r="EC72"/>
  <c r="EN72" s="1"/>
  <c r="EP72"/>
  <c r="ER72"/>
  <c r="ET72" s="1"/>
  <c r="EU72" s="1"/>
  <c r="L73"/>
  <c r="M73"/>
  <c r="N73"/>
  <c r="R73"/>
  <c r="S73"/>
  <c r="T73"/>
  <c r="X73" s="1"/>
  <c r="Z73"/>
  <c r="BP73"/>
  <c r="BS73" s="1"/>
  <c r="EC73"/>
  <c r="EP73"/>
  <c r="L74"/>
  <c r="M74"/>
  <c r="N74"/>
  <c r="O74"/>
  <c r="EL74" s="1"/>
  <c r="R74"/>
  <c r="S74"/>
  <c r="T74"/>
  <c r="X74" s="1"/>
  <c r="W74"/>
  <c r="Y74" s="1"/>
  <c r="Z74"/>
  <c r="AL74" s="1"/>
  <c r="AK74"/>
  <c r="BP74"/>
  <c r="BS74"/>
  <c r="EC74"/>
  <c r="EN74" s="1"/>
  <c r="EP74"/>
  <c r="ER74"/>
  <c r="ET74" s="1"/>
  <c r="EU74" s="1"/>
  <c r="L75"/>
  <c r="M75"/>
  <c r="O75" s="1"/>
  <c r="W75" s="1"/>
  <c r="Y75" s="1"/>
  <c r="N75"/>
  <c r="R75"/>
  <c r="S75"/>
  <c r="BP75"/>
  <c r="BS75" s="1"/>
  <c r="EC75"/>
  <c r="EL75"/>
  <c r="EP75"/>
  <c r="L76"/>
  <c r="M76"/>
  <c r="O76" s="1"/>
  <c r="N76"/>
  <c r="R76"/>
  <c r="S76"/>
  <c r="T76" s="1"/>
  <c r="X76" s="1"/>
  <c r="Z76" s="1"/>
  <c r="BP76"/>
  <c r="BS76"/>
  <c r="EC76"/>
  <c r="EL76"/>
  <c r="EP76"/>
  <c r="EQ76"/>
  <c r="ER76"/>
  <c r="ET76" s="1"/>
  <c r="EU76" s="1"/>
  <c r="L77"/>
  <c r="S94"/>
  <c r="T77"/>
  <c r="X77" s="1"/>
  <c r="Z77" s="1"/>
  <c r="BP77"/>
  <c r="EC77"/>
  <c r="EC94" s="1"/>
  <c r="EP77"/>
  <c r="L78"/>
  <c r="M78"/>
  <c r="N78"/>
  <c r="O78"/>
  <c r="R78"/>
  <c r="T78" s="1"/>
  <c r="S78"/>
  <c r="W78"/>
  <c r="Y78" s="1"/>
  <c r="AK78" s="1"/>
  <c r="X78"/>
  <c r="Z78" s="1"/>
  <c r="AL78" s="1"/>
  <c r="AQ78"/>
  <c r="AR78"/>
  <c r="BP78"/>
  <c r="EC78"/>
  <c r="EH78"/>
  <c r="EN78" s="1"/>
  <c r="EL78"/>
  <c r="EP78"/>
  <c r="ER78"/>
  <c r="ET78"/>
  <c r="EU78" s="1"/>
  <c r="L79"/>
  <c r="T79"/>
  <c r="X79" s="1"/>
  <c r="Z79" s="1"/>
  <c r="BP79"/>
  <c r="EC79"/>
  <c r="EP79"/>
  <c r="ER79"/>
  <c r="L80"/>
  <c r="M80"/>
  <c r="N80"/>
  <c r="O80"/>
  <c r="EH80" s="1"/>
  <c r="EN80" s="1"/>
  <c r="R80"/>
  <c r="T80" s="1"/>
  <c r="S80"/>
  <c r="W80"/>
  <c r="Y80" s="1"/>
  <c r="X80"/>
  <c r="Z80" s="1"/>
  <c r="AD80" s="1"/>
  <c r="AC80"/>
  <c r="AU80"/>
  <c r="AV80"/>
  <c r="BP80"/>
  <c r="BS80" s="1"/>
  <c r="EC80"/>
  <c r="EL80"/>
  <c r="EP80"/>
  <c r="J81"/>
  <c r="L81"/>
  <c r="M81"/>
  <c r="O81" s="1"/>
  <c r="R81"/>
  <c r="T81"/>
  <c r="X81" s="1"/>
  <c r="W81"/>
  <c r="Y81" s="1"/>
  <c r="AC81" s="1"/>
  <c r="AK81" s="1"/>
  <c r="Z81"/>
  <c r="AD81" s="1"/>
  <c r="AL81" s="1"/>
  <c r="BP81"/>
  <c r="BS81" s="1"/>
  <c r="L82"/>
  <c r="M82"/>
  <c r="O82" s="1"/>
  <c r="N82"/>
  <c r="N95" s="1"/>
  <c r="R82"/>
  <c r="S82"/>
  <c r="T82"/>
  <c r="X82" s="1"/>
  <c r="Z82" s="1"/>
  <c r="BP82"/>
  <c r="EC82"/>
  <c r="EN82" s="1"/>
  <c r="EP82"/>
  <c r="ER82"/>
  <c r="ET82" s="1"/>
  <c r="EU82" s="1"/>
  <c r="L83"/>
  <c r="O83"/>
  <c r="N83"/>
  <c r="R83"/>
  <c r="T83" s="1"/>
  <c r="X83" s="1"/>
  <c r="Z83" s="1"/>
  <c r="S83"/>
  <c r="BP83"/>
  <c r="EC83"/>
  <c r="EN83"/>
  <c r="EP83"/>
  <c r="ET83"/>
  <c r="EU83" s="1"/>
  <c r="L84"/>
  <c r="BP84"/>
  <c r="EC84"/>
  <c r="EP84"/>
  <c r="L85"/>
  <c r="M85"/>
  <c r="N85"/>
  <c r="O85"/>
  <c r="EL85" s="1"/>
  <c r="R85"/>
  <c r="S85"/>
  <c r="T85"/>
  <c r="X85" s="1"/>
  <c r="W85"/>
  <c r="Y85" s="1"/>
  <c r="AK85" s="1"/>
  <c r="Z85"/>
  <c r="AQ85"/>
  <c r="BP85"/>
  <c r="EC85"/>
  <c r="EN85" s="1"/>
  <c r="EP85"/>
  <c r="ER85"/>
  <c r="ET85" s="1"/>
  <c r="EU85" s="1"/>
  <c r="L86"/>
  <c r="M86"/>
  <c r="O86" s="1"/>
  <c r="N86"/>
  <c r="R86"/>
  <c r="S86"/>
  <c r="T86"/>
  <c r="X86" s="1"/>
  <c r="Z86" s="1"/>
  <c r="BP86"/>
  <c r="EC86"/>
  <c r="EN86" s="1"/>
  <c r="EP86"/>
  <c r="ER86"/>
  <c r="ET86" s="1"/>
  <c r="EU86" s="1"/>
  <c r="L87"/>
  <c r="M87"/>
  <c r="N87"/>
  <c r="R87"/>
  <c r="T87" s="1"/>
  <c r="X87" s="1"/>
  <c r="Z87" s="1"/>
  <c r="S87"/>
  <c r="BP87"/>
  <c r="EC87"/>
  <c r="EN87"/>
  <c r="EP87"/>
  <c r="L88"/>
  <c r="M88"/>
  <c r="N88"/>
  <c r="O88"/>
  <c r="EL88" s="1"/>
  <c r="R88"/>
  <c r="T88" s="1"/>
  <c r="X88" s="1"/>
  <c r="Z88" s="1"/>
  <c r="S88"/>
  <c r="BG88"/>
  <c r="BP88"/>
  <c r="EC88"/>
  <c r="EH88"/>
  <c r="EP88"/>
  <c r="ET88"/>
  <c r="EU88" s="1"/>
  <c r="L89"/>
  <c r="M89"/>
  <c r="N89"/>
  <c r="R89"/>
  <c r="S89"/>
  <c r="T89"/>
  <c r="X89" s="1"/>
  <c r="Z89"/>
  <c r="BP89"/>
  <c r="EC89"/>
  <c r="EN89" s="1"/>
  <c r="EP89"/>
  <c r="ER89"/>
  <c r="ET89" s="1"/>
  <c r="EU89" s="1"/>
  <c r="H90"/>
  <c r="G93"/>
  <c r="G100" s="1"/>
  <c r="H93"/>
  <c r="I93"/>
  <c r="J93"/>
  <c r="K93"/>
  <c r="P93"/>
  <c r="R93"/>
  <c r="U93"/>
  <c r="V93"/>
  <c r="V100" s="1"/>
  <c r="AA93"/>
  <c r="AB93"/>
  <c r="AE93"/>
  <c r="AF93"/>
  <c r="AG93"/>
  <c r="AH93"/>
  <c r="AI93"/>
  <c r="AJ93"/>
  <c r="AM93"/>
  <c r="AM100" s="1"/>
  <c r="AN93"/>
  <c r="AS93"/>
  <c r="AT93"/>
  <c r="AY93"/>
  <c r="AZ93"/>
  <c r="BA93"/>
  <c r="BB93"/>
  <c r="BB100" s="1"/>
  <c r="BC93"/>
  <c r="BC100" s="1"/>
  <c r="BD93"/>
  <c r="BE93"/>
  <c r="BF93"/>
  <c r="BG93"/>
  <c r="BH93"/>
  <c r="BI93"/>
  <c r="BJ93"/>
  <c r="BJ100" s="1"/>
  <c r="BK93"/>
  <c r="BK100" s="1"/>
  <c r="BL93"/>
  <c r="BM93"/>
  <c r="BN93"/>
  <c r="BO93"/>
  <c r="BR93"/>
  <c r="BT93"/>
  <c r="BU93"/>
  <c r="BY93"/>
  <c r="BZ93"/>
  <c r="CA93"/>
  <c r="CB93"/>
  <c r="CC93"/>
  <c r="CD93"/>
  <c r="CE93"/>
  <c r="CF93"/>
  <c r="CG93"/>
  <c r="CH93"/>
  <c r="CI93"/>
  <c r="CJ93"/>
  <c r="CK93"/>
  <c r="CL93"/>
  <c r="CM93"/>
  <c r="CN93"/>
  <c r="CO93"/>
  <c r="CP93"/>
  <c r="CQ93"/>
  <c r="DG93"/>
  <c r="DH93"/>
  <c r="DI93"/>
  <c r="DJ93"/>
  <c r="DK93"/>
  <c r="DL93"/>
  <c r="DM93"/>
  <c r="DN93"/>
  <c r="DO93"/>
  <c r="DP93"/>
  <c r="DQ93"/>
  <c r="DR93"/>
  <c r="DS93"/>
  <c r="DT93"/>
  <c r="DU93"/>
  <c r="DV93"/>
  <c r="DW93"/>
  <c r="DX93"/>
  <c r="DY93"/>
  <c r="DZ93"/>
  <c r="EA93"/>
  <c r="EB93"/>
  <c r="ED93"/>
  <c r="EE93"/>
  <c r="EF93"/>
  <c r="EI93"/>
  <c r="EJ93"/>
  <c r="EK93"/>
  <c r="EM93"/>
  <c r="G94"/>
  <c r="H94"/>
  <c r="H100" s="1"/>
  <c r="I94"/>
  <c r="I100" s="1"/>
  <c r="J94"/>
  <c r="K94"/>
  <c r="P94"/>
  <c r="P100" s="1"/>
  <c r="Q94"/>
  <c r="U94"/>
  <c r="U100" s="1"/>
  <c r="V94"/>
  <c r="AA94"/>
  <c r="AB94"/>
  <c r="AB100" s="1"/>
  <c r="AE94"/>
  <c r="AF94"/>
  <c r="AF100" s="1"/>
  <c r="AG94"/>
  <c r="AG100" s="1"/>
  <c r="AH94"/>
  <c r="AI94"/>
  <c r="AJ94"/>
  <c r="AJ100" s="1"/>
  <c r="AM94"/>
  <c r="AN94"/>
  <c r="AN100" s="1"/>
  <c r="AO94"/>
  <c r="AP94"/>
  <c r="AS94"/>
  <c r="AS100" s="1"/>
  <c r="AT94"/>
  <c r="AU94"/>
  <c r="AV94"/>
  <c r="AW94"/>
  <c r="AX94"/>
  <c r="AY94"/>
  <c r="AZ94"/>
  <c r="AZ100" s="1"/>
  <c r="BA94"/>
  <c r="BA100" s="1"/>
  <c r="BB94"/>
  <c r="BC94"/>
  <c r="BD94"/>
  <c r="BD100" s="1"/>
  <c r="BE94"/>
  <c r="BE100" s="1"/>
  <c r="BF94"/>
  <c r="BG94"/>
  <c r="BH94"/>
  <c r="BH100" s="1"/>
  <c r="BI94"/>
  <c r="BI100" s="1"/>
  <c r="BJ94"/>
  <c r="BK94"/>
  <c r="BL94"/>
  <c r="BL100" s="1"/>
  <c r="BM94"/>
  <c r="BM100" s="1"/>
  <c r="BN94"/>
  <c r="BO94"/>
  <c r="BP94"/>
  <c r="BQ94"/>
  <c r="BT94"/>
  <c r="BT100" s="1"/>
  <c r="BU94"/>
  <c r="BU100" s="1"/>
  <c r="BY94"/>
  <c r="BZ94"/>
  <c r="CA94"/>
  <c r="CB94"/>
  <c r="CC94"/>
  <c r="CD94"/>
  <c r="CE94"/>
  <c r="CF94"/>
  <c r="CG94"/>
  <c r="CH94"/>
  <c r="CI94"/>
  <c r="CJ94"/>
  <c r="CK94"/>
  <c r="CL94"/>
  <c r="CM94"/>
  <c r="CN94"/>
  <c r="CO94"/>
  <c r="CP94"/>
  <c r="CQ94"/>
  <c r="DG94"/>
  <c r="DH94"/>
  <c r="DI94"/>
  <c r="DJ94"/>
  <c r="DK94"/>
  <c r="DL94"/>
  <c r="DM94"/>
  <c r="DN94"/>
  <c r="DO94"/>
  <c r="DP94"/>
  <c r="DQ94"/>
  <c r="DR94"/>
  <c r="DS94"/>
  <c r="DT94"/>
  <c r="DU94"/>
  <c r="DV94"/>
  <c r="DW94"/>
  <c r="DX94"/>
  <c r="DY94"/>
  <c r="DZ94"/>
  <c r="EA94"/>
  <c r="EB94"/>
  <c r="ED94"/>
  <c r="EE94"/>
  <c r="EF94"/>
  <c r="G95"/>
  <c r="H95"/>
  <c r="I95"/>
  <c r="J95"/>
  <c r="K95"/>
  <c r="P95"/>
  <c r="Q95"/>
  <c r="S95"/>
  <c r="U95"/>
  <c r="V95"/>
  <c r="AA95"/>
  <c r="AB95"/>
  <c r="AE95"/>
  <c r="AE100" s="1"/>
  <c r="AF95"/>
  <c r="AG95"/>
  <c r="AH95"/>
  <c r="AI95"/>
  <c r="AI100" s="1"/>
  <c r="AJ95"/>
  <c r="AM95"/>
  <c r="AN95"/>
  <c r="AO95"/>
  <c r="AP95"/>
  <c r="AS95"/>
  <c r="AT95"/>
  <c r="AT100" s="1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Q95"/>
  <c r="BR95"/>
  <c r="BR100" s="1"/>
  <c r="BS95"/>
  <c r="BT95"/>
  <c r="BU95"/>
  <c r="BY95"/>
  <c r="BZ95"/>
  <c r="CA95"/>
  <c r="CB95"/>
  <c r="CC95"/>
  <c r="CD95"/>
  <c r="CE95"/>
  <c r="CF95"/>
  <c r="CG95"/>
  <c r="CH95"/>
  <c r="CI95"/>
  <c r="CJ95"/>
  <c r="CK95"/>
  <c r="CL95"/>
  <c r="CM95"/>
  <c r="CN95"/>
  <c r="CO95"/>
  <c r="CP95"/>
  <c r="CQ95"/>
  <c r="DG95"/>
  <c r="DH95"/>
  <c r="DI95"/>
  <c r="DJ95"/>
  <c r="DK95"/>
  <c r="DL95"/>
  <c r="DM95"/>
  <c r="DN95"/>
  <c r="DO95"/>
  <c r="DP95"/>
  <c r="DQ95"/>
  <c r="DR95"/>
  <c r="DS95"/>
  <c r="DT95"/>
  <c r="DU95"/>
  <c r="DV95"/>
  <c r="DW95"/>
  <c r="DX95"/>
  <c r="DY95"/>
  <c r="DZ95"/>
  <c r="EA95"/>
  <c r="EB95"/>
  <c r="EE95"/>
  <c r="EF95"/>
  <c r="EO95"/>
  <c r="E100"/>
  <c r="J100"/>
  <c r="K100"/>
  <c r="AA100"/>
  <c r="AH100"/>
  <c r="AY100"/>
  <c r="BF100"/>
  <c r="BG100"/>
  <c r="BN100"/>
  <c r="BO100"/>
  <c r="BV100"/>
  <c r="T37"/>
  <c r="X37" s="1"/>
  <c r="Z37" s="1"/>
  <c r="W72" l="1"/>
  <c r="Y72" s="1"/>
  <c r="AQ21"/>
  <c r="EH21"/>
  <c r="EN21" s="1"/>
  <c r="ET14"/>
  <c r="EU14" s="1"/>
  <c r="W69"/>
  <c r="Y69" s="1"/>
  <c r="W52"/>
  <c r="Y52" s="1"/>
  <c r="AQ52" s="1"/>
  <c r="AC35"/>
  <c r="AQ34"/>
  <c r="AC34"/>
  <c r="EL22"/>
  <c r="EH22"/>
  <c r="EN22" s="1"/>
  <c r="AL88"/>
  <c r="AR88"/>
  <c r="AD88"/>
  <c r="AL83"/>
  <c r="AR83"/>
  <c r="AD83"/>
  <c r="AL70"/>
  <c r="AR70"/>
  <c r="AD70"/>
  <c r="AD65"/>
  <c r="AR65"/>
  <c r="AL65"/>
  <c r="AD37"/>
  <c r="AR37"/>
  <c r="AL37"/>
  <c r="AL87"/>
  <c r="AR87"/>
  <c r="AD87"/>
  <c r="AD86"/>
  <c r="AR86"/>
  <c r="AL86"/>
  <c r="AD77"/>
  <c r="AR77"/>
  <c r="AL77"/>
  <c r="AC38"/>
  <c r="AK38"/>
  <c r="AD79"/>
  <c r="AL79"/>
  <c r="AK64"/>
  <c r="AC64"/>
  <c r="AD82"/>
  <c r="AR82"/>
  <c r="AL82"/>
  <c r="AU81"/>
  <c r="AQ81"/>
  <c r="AR81"/>
  <c r="AV81"/>
  <c r="AD76"/>
  <c r="AR76"/>
  <c r="AL76"/>
  <c r="AC75"/>
  <c r="AQ75"/>
  <c r="AK75"/>
  <c r="AK71"/>
  <c r="AQ71"/>
  <c r="AC71"/>
  <c r="AD23"/>
  <c r="AR23"/>
  <c r="AL23"/>
  <c r="AD10"/>
  <c r="AR10"/>
  <c r="AL10"/>
  <c r="W86"/>
  <c r="Y86" s="1"/>
  <c r="EL86"/>
  <c r="W82"/>
  <c r="Y82" s="1"/>
  <c r="EL82"/>
  <c r="O77"/>
  <c r="ER77"/>
  <c r="ET77" s="1"/>
  <c r="EU77" s="1"/>
  <c r="AD72"/>
  <c r="AR72"/>
  <c r="AD62"/>
  <c r="AR62"/>
  <c r="AL60"/>
  <c r="AD60"/>
  <c r="AK59"/>
  <c r="AC59"/>
  <c r="EH59"/>
  <c r="EN59" s="1"/>
  <c r="EL59"/>
  <c r="AL57"/>
  <c r="AR57"/>
  <c r="AK56"/>
  <c r="AC56"/>
  <c r="O55"/>
  <c r="ER55"/>
  <c r="ET55" s="1"/>
  <c r="EU55" s="1"/>
  <c r="EL54"/>
  <c r="W54"/>
  <c r="Y54" s="1"/>
  <c r="AD52"/>
  <c r="AR52"/>
  <c r="AL52"/>
  <c r="AK50"/>
  <c r="AC50"/>
  <c r="W48"/>
  <c r="Y48" s="1"/>
  <c r="EL48"/>
  <c r="AL47"/>
  <c r="AR47"/>
  <c r="EL36"/>
  <c r="W36"/>
  <c r="Y36" s="1"/>
  <c r="AK36" s="1"/>
  <c r="AL31"/>
  <c r="AR31"/>
  <c r="AD31"/>
  <c r="X26"/>
  <c r="Z26" s="1"/>
  <c r="AD20"/>
  <c r="AR20"/>
  <c r="O20"/>
  <c r="ER20"/>
  <c r="ET20" s="1"/>
  <c r="EU20" s="1"/>
  <c r="AC19"/>
  <c r="AQ19"/>
  <c r="AK19"/>
  <c r="EH11"/>
  <c r="EN11" s="1"/>
  <c r="EL11"/>
  <c r="W11"/>
  <c r="Y11" s="1"/>
  <c r="AC8"/>
  <c r="AQ8"/>
  <c r="AD89"/>
  <c r="AR89"/>
  <c r="AD85"/>
  <c r="AR85"/>
  <c r="O84"/>
  <c r="ER84"/>
  <c r="ET84" s="1"/>
  <c r="EU84" s="1"/>
  <c r="EH76"/>
  <c r="EN76" s="1"/>
  <c r="W76"/>
  <c r="Y76" s="1"/>
  <c r="AD73"/>
  <c r="AR73"/>
  <c r="AK69"/>
  <c r="AC69"/>
  <c r="AL66"/>
  <c r="AD66"/>
  <c r="O66"/>
  <c r="ER66"/>
  <c r="ET66" s="1"/>
  <c r="EU66" s="1"/>
  <c r="EH62"/>
  <c r="EN62" s="1"/>
  <c r="EL62"/>
  <c r="W62"/>
  <c r="Y62" s="1"/>
  <c r="EL60"/>
  <c r="W60"/>
  <c r="Y60" s="1"/>
  <c r="EH60"/>
  <c r="AK58"/>
  <c r="AC58"/>
  <c r="AD56"/>
  <c r="AR56"/>
  <c r="AL56"/>
  <c r="T48"/>
  <c r="R94"/>
  <c r="AC45"/>
  <c r="AQ45"/>
  <c r="AK45"/>
  <c r="AL44"/>
  <c r="AD44"/>
  <c r="ER73"/>
  <c r="ET73" s="1"/>
  <c r="EU73" s="1"/>
  <c r="O73"/>
  <c r="O70"/>
  <c r="ER70"/>
  <c r="ET70" s="1"/>
  <c r="EU70" s="1"/>
  <c r="AC68"/>
  <c r="AK68"/>
  <c r="AL64"/>
  <c r="AD64"/>
  <c r="AD59"/>
  <c r="AR59"/>
  <c r="AD54"/>
  <c r="AR54"/>
  <c r="AK52"/>
  <c r="AC52"/>
  <c r="AD49"/>
  <c r="AR49"/>
  <c r="O49"/>
  <c r="ER49"/>
  <c r="ET49" s="1"/>
  <c r="EU49" s="1"/>
  <c r="EH46"/>
  <c r="EL46"/>
  <c r="W46"/>
  <c r="Y46" s="1"/>
  <c r="AC46" s="1"/>
  <c r="AL45"/>
  <c r="AR45"/>
  <c r="EP36"/>
  <c r="ED95"/>
  <c r="AK29"/>
  <c r="AQ29" s="1"/>
  <c r="AC29"/>
  <c r="AW27"/>
  <c r="AW93" s="1"/>
  <c r="AW100" s="1"/>
  <c r="W27"/>
  <c r="Y27" s="1"/>
  <c r="AU27"/>
  <c r="AC22"/>
  <c r="AQ22"/>
  <c r="AK18"/>
  <c r="AD17"/>
  <c r="AR17"/>
  <c r="AL17"/>
  <c r="AL14"/>
  <c r="AR14"/>
  <c r="AD11"/>
  <c r="AR11"/>
  <c r="AL11"/>
  <c r="AL9"/>
  <c r="AD9"/>
  <c r="AR9"/>
  <c r="X8"/>
  <c r="W39"/>
  <c r="Y39" s="1"/>
  <c r="AC39" s="1"/>
  <c r="R95"/>
  <c r="M94"/>
  <c r="AL89"/>
  <c r="O89"/>
  <c r="AL85"/>
  <c r="T84"/>
  <c r="X84" s="1"/>
  <c r="Z84" s="1"/>
  <c r="AD78"/>
  <c r="EH75"/>
  <c r="EN75" s="1"/>
  <c r="AL73"/>
  <c r="EL71"/>
  <c r="EH69"/>
  <c r="AQ69"/>
  <c r="AR66"/>
  <c r="AQ58"/>
  <c r="AQ50"/>
  <c r="AD47"/>
  <c r="AR44"/>
  <c r="AC41"/>
  <c r="O37"/>
  <c r="S32"/>
  <c r="S93" s="1"/>
  <c r="S100" s="1"/>
  <c r="AL34"/>
  <c r="AR34"/>
  <c r="AD30"/>
  <c r="AL30"/>
  <c r="AR30" s="1"/>
  <c r="BP93"/>
  <c r="BP100" s="1"/>
  <c r="BS17"/>
  <c r="BS93" s="1"/>
  <c r="AL16"/>
  <c r="AR16"/>
  <c r="AD16"/>
  <c r="AC14"/>
  <c r="AQ14"/>
  <c r="AK14"/>
  <c r="O87"/>
  <c r="ER87"/>
  <c r="ET87" s="1"/>
  <c r="EU87" s="1"/>
  <c r="W83"/>
  <c r="Y83" s="1"/>
  <c r="EL83"/>
  <c r="O79"/>
  <c r="W79"/>
  <c r="Y79" s="1"/>
  <c r="AD69"/>
  <c r="AL69"/>
  <c r="AD67"/>
  <c r="AR67"/>
  <c r="AL67"/>
  <c r="EH67"/>
  <c r="EN67" s="1"/>
  <c r="EL67"/>
  <c r="W67"/>
  <c r="Y67" s="1"/>
  <c r="AL61"/>
  <c r="AR61"/>
  <c r="AL58"/>
  <c r="AD58"/>
  <c r="AC57"/>
  <c r="AQ57"/>
  <c r="AL53"/>
  <c r="AP53"/>
  <c r="AL51"/>
  <c r="AD51"/>
  <c r="W51"/>
  <c r="Y51" s="1"/>
  <c r="EH51"/>
  <c r="EL51"/>
  <c r="EL44"/>
  <c r="W44"/>
  <c r="Y44" s="1"/>
  <c r="EH44"/>
  <c r="EN44" s="1"/>
  <c r="AC42"/>
  <c r="AK42"/>
  <c r="AL35"/>
  <c r="AR35"/>
  <c r="AL33"/>
  <c r="AR33"/>
  <c r="AL29"/>
  <c r="AR29" s="1"/>
  <c r="AD29"/>
  <c r="AL25"/>
  <c r="AD25"/>
  <c r="O25"/>
  <c r="ER25"/>
  <c r="ET25" s="1"/>
  <c r="EU25" s="1"/>
  <c r="AL24"/>
  <c r="AD24"/>
  <c r="AL19"/>
  <c r="AR19"/>
  <c r="AD19"/>
  <c r="AL13"/>
  <c r="AR13"/>
  <c r="AD13"/>
  <c r="AD12"/>
  <c r="AR12"/>
  <c r="AL12"/>
  <c r="EH12"/>
  <c r="EN12" s="1"/>
  <c r="EL12"/>
  <c r="W12"/>
  <c r="Y12" s="1"/>
  <c r="L95"/>
  <c r="BQ93"/>
  <c r="BQ100" s="1"/>
  <c r="AL20"/>
  <c r="N94"/>
  <c r="EN88"/>
  <c r="W88"/>
  <c r="Y88" s="1"/>
  <c r="AC85"/>
  <c r="AC78"/>
  <c r="ER75"/>
  <c r="ET75" s="1"/>
  <c r="EU75" s="1"/>
  <c r="T75"/>
  <c r="X75" s="1"/>
  <c r="Z75" s="1"/>
  <c r="AL72"/>
  <c r="AD71"/>
  <c r="EN69"/>
  <c r="AL62"/>
  <c r="AR60"/>
  <c r="AQ59"/>
  <c r="AD57"/>
  <c r="EL56"/>
  <c r="AQ56"/>
  <c r="BS94"/>
  <c r="L93"/>
  <c r="X27"/>
  <c r="Z27" s="1"/>
  <c r="AV27"/>
  <c r="AV93" s="1"/>
  <c r="AV100" s="1"/>
  <c r="W26"/>
  <c r="EH26"/>
  <c r="EN26" s="1"/>
  <c r="W65"/>
  <c r="Y65" s="1"/>
  <c r="EL65"/>
  <c r="EH50"/>
  <c r="EL50"/>
  <c r="W23"/>
  <c r="Y23" s="1"/>
  <c r="EH23"/>
  <c r="EN23" s="1"/>
  <c r="O10"/>
  <c r="ER10"/>
  <c r="ET10" s="1"/>
  <c r="EU10" s="1"/>
  <c r="EN60"/>
  <c r="ER24"/>
  <c r="ET24" s="1"/>
  <c r="EU24" s="1"/>
  <c r="X15"/>
  <c r="Z15" s="1"/>
  <c r="EL8"/>
  <c r="N32"/>
  <c r="O32" s="1"/>
  <c r="O61"/>
  <c r="ER61"/>
  <c r="ET61" s="1"/>
  <c r="EU61" s="1"/>
  <c r="O53"/>
  <c r="ER53"/>
  <c r="ET53" s="1"/>
  <c r="EU53" s="1"/>
  <c r="ER47"/>
  <c r="ET47" s="1"/>
  <c r="EU47" s="1"/>
  <c r="O47"/>
  <c r="EH35"/>
  <c r="EN35" s="1"/>
  <c r="EL35"/>
  <c r="EH34"/>
  <c r="EN34" s="1"/>
  <c r="EL34"/>
  <c r="ER33"/>
  <c r="ET33" s="1"/>
  <c r="EU33" s="1"/>
  <c r="O33"/>
  <c r="ER31"/>
  <c r="ET31" s="1"/>
  <c r="EU31" s="1"/>
  <c r="O31"/>
  <c r="O17"/>
  <c r="ER17"/>
  <c r="ET17" s="1"/>
  <c r="EU17" s="1"/>
  <c r="ER15"/>
  <c r="ET15" s="1"/>
  <c r="EU15" s="1"/>
  <c r="O15"/>
  <c r="M95"/>
  <c r="M93"/>
  <c r="T55"/>
  <c r="X55" s="1"/>
  <c r="Z55" s="1"/>
  <c r="O43"/>
  <c r="O30"/>
  <c r="AC28"/>
  <c r="AX27"/>
  <c r="AX93" s="1"/>
  <c r="AX100" s="1"/>
  <c r="EN24"/>
  <c r="W24"/>
  <c r="Y24" s="1"/>
  <c r="ER22"/>
  <c r="ET22" s="1"/>
  <c r="EU22" s="1"/>
  <c r="T22"/>
  <c r="X22" s="1"/>
  <c r="Z22" s="1"/>
  <c r="AC21"/>
  <c r="O9"/>
  <c r="AK72" l="1"/>
  <c r="AC72"/>
  <c r="AQ72"/>
  <c r="BS100"/>
  <c r="AU93"/>
  <c r="AU100" s="1"/>
  <c r="X95"/>
  <c r="T32"/>
  <c r="X32" s="1"/>
  <c r="Z32" s="1"/>
  <c r="AD32" s="1"/>
  <c r="W37"/>
  <c r="Y37" s="1"/>
  <c r="EH37"/>
  <c r="EN37" s="1"/>
  <c r="EL37"/>
  <c r="W17"/>
  <c r="Y17" s="1"/>
  <c r="EL17"/>
  <c r="W53"/>
  <c r="Y53" s="1"/>
  <c r="EH53"/>
  <c r="EN53" s="1"/>
  <c r="EL53"/>
  <c r="Z8"/>
  <c r="W70"/>
  <c r="Y70" s="1"/>
  <c r="EL70"/>
  <c r="AK60"/>
  <c r="AQ60"/>
  <c r="AC60"/>
  <c r="AK11"/>
  <c r="AQ11"/>
  <c r="AC11"/>
  <c r="W33"/>
  <c r="Y33" s="1"/>
  <c r="EL33"/>
  <c r="EL32"/>
  <c r="W32"/>
  <c r="Y32" s="1"/>
  <c r="EH32"/>
  <c r="EN32" s="1"/>
  <c r="W10"/>
  <c r="EH10"/>
  <c r="EN10" s="1"/>
  <c r="EL10"/>
  <c r="O93"/>
  <c r="Y26"/>
  <c r="AC83"/>
  <c r="AQ83"/>
  <c r="AK83"/>
  <c r="AL84"/>
  <c r="AD84"/>
  <c r="AR84"/>
  <c r="AL55"/>
  <c r="AD55"/>
  <c r="AR55"/>
  <c r="W61"/>
  <c r="Y61" s="1"/>
  <c r="EL61"/>
  <c r="AD15"/>
  <c r="AR15"/>
  <c r="AL15"/>
  <c r="AL75"/>
  <c r="AD75"/>
  <c r="AR75"/>
  <c r="AK88"/>
  <c r="AQ88"/>
  <c r="AC88"/>
  <c r="AK12"/>
  <c r="AQ12"/>
  <c r="AC12"/>
  <c r="AO42"/>
  <c r="AU42" s="1"/>
  <c r="EH42"/>
  <c r="AO27"/>
  <c r="AC27"/>
  <c r="W49"/>
  <c r="Y49" s="1"/>
  <c r="EL49"/>
  <c r="AK62"/>
  <c r="AQ62"/>
  <c r="AC62"/>
  <c r="W66"/>
  <c r="Y66" s="1"/>
  <c r="EH66"/>
  <c r="EN66" s="1"/>
  <c r="EL66"/>
  <c r="AK54"/>
  <c r="AQ54"/>
  <c r="AC54"/>
  <c r="M100"/>
  <c r="L100"/>
  <c r="T95"/>
  <c r="N93"/>
  <c r="N100" s="1"/>
  <c r="AK24"/>
  <c r="AQ24"/>
  <c r="AC24"/>
  <c r="W30"/>
  <c r="Y30" s="1"/>
  <c r="EH30"/>
  <c r="EL30"/>
  <c r="AK67"/>
  <c r="AQ67"/>
  <c r="AC67"/>
  <c r="AC79"/>
  <c r="AK79"/>
  <c r="W84"/>
  <c r="Y84" s="1"/>
  <c r="EH84"/>
  <c r="EN84" s="1"/>
  <c r="EL84"/>
  <c r="AK48"/>
  <c r="AQ48"/>
  <c r="AC48"/>
  <c r="W9"/>
  <c r="O94"/>
  <c r="EL9"/>
  <c r="EH9"/>
  <c r="W20"/>
  <c r="Y20" s="1"/>
  <c r="EL20"/>
  <c r="AD26"/>
  <c r="AD95" s="1"/>
  <c r="AR26"/>
  <c r="AR95" s="1"/>
  <c r="AL26"/>
  <c r="AL95" s="1"/>
  <c r="Z95"/>
  <c r="AC82"/>
  <c r="AQ82"/>
  <c r="AK82"/>
  <c r="AL22"/>
  <c r="AD22"/>
  <c r="AR22"/>
  <c r="EH15"/>
  <c r="EN15" s="1"/>
  <c r="EL15"/>
  <c r="W15"/>
  <c r="Y15" s="1"/>
  <c r="EL31"/>
  <c r="W31"/>
  <c r="Y31" s="1"/>
  <c r="EH31"/>
  <c r="EN31" s="1"/>
  <c r="W47"/>
  <c r="Y47" s="1"/>
  <c r="EL47"/>
  <c r="O95"/>
  <c r="AC23"/>
  <c r="AQ23"/>
  <c r="AK23"/>
  <c r="AC65"/>
  <c r="AQ65"/>
  <c r="AK65"/>
  <c r="AD27"/>
  <c r="AP27"/>
  <c r="AP93" s="1"/>
  <c r="AP100" s="1"/>
  <c r="W25"/>
  <c r="Y25" s="1"/>
  <c r="EH25"/>
  <c r="EN25" s="1"/>
  <c r="EL25"/>
  <c r="AK44"/>
  <c r="AQ44"/>
  <c r="AC44"/>
  <c r="AC51"/>
  <c r="AO51"/>
  <c r="AK51"/>
  <c r="EL79"/>
  <c r="EH79"/>
  <c r="EN79" s="1"/>
  <c r="W87"/>
  <c r="Y87" s="1"/>
  <c r="EL87"/>
  <c r="W89"/>
  <c r="Y89" s="1"/>
  <c r="EL89"/>
  <c r="EH73"/>
  <c r="EN73" s="1"/>
  <c r="W73"/>
  <c r="Y73" s="1"/>
  <c r="EL73"/>
  <c r="T94"/>
  <c r="X48"/>
  <c r="AC76"/>
  <c r="AQ76"/>
  <c r="AK76"/>
  <c r="W55"/>
  <c r="Y55" s="1"/>
  <c r="EL55"/>
  <c r="EL77"/>
  <c r="W77"/>
  <c r="Y77" s="1"/>
  <c r="EH77"/>
  <c r="EN77" s="1"/>
  <c r="AC86"/>
  <c r="AQ86"/>
  <c r="AK86"/>
  <c r="R100"/>
  <c r="O100" l="1"/>
  <c r="AL32"/>
  <c r="T93"/>
  <c r="T100" s="1"/>
  <c r="X93"/>
  <c r="EN94"/>
  <c r="EN95" s="1"/>
  <c r="AR32"/>
  <c r="EL93"/>
  <c r="AC84"/>
  <c r="AQ84"/>
  <c r="AK84"/>
  <c r="AC30"/>
  <c r="AK30"/>
  <c r="AQ30" s="1"/>
  <c r="EH93"/>
  <c r="EN9"/>
  <c r="AC26"/>
  <c r="AQ26"/>
  <c r="AK26"/>
  <c r="Y95"/>
  <c r="Y10"/>
  <c r="W93"/>
  <c r="AC73"/>
  <c r="AQ73"/>
  <c r="AK73"/>
  <c r="AC25"/>
  <c r="AQ25"/>
  <c r="AK25"/>
  <c r="AC66"/>
  <c r="AQ66"/>
  <c r="AK66"/>
  <c r="AK32"/>
  <c r="AQ32"/>
  <c r="AC32"/>
  <c r="AC37"/>
  <c r="AQ37"/>
  <c r="AK37"/>
  <c r="AC89"/>
  <c r="AQ89"/>
  <c r="AK89"/>
  <c r="AC47"/>
  <c r="AQ47"/>
  <c r="AK47"/>
  <c r="AK15"/>
  <c r="AC15"/>
  <c r="AQ15"/>
  <c r="AC61"/>
  <c r="AQ61"/>
  <c r="AK61"/>
  <c r="AC33"/>
  <c r="AQ33"/>
  <c r="AK33"/>
  <c r="AC70"/>
  <c r="AQ70"/>
  <c r="AK70"/>
  <c r="AC53"/>
  <c r="AO53"/>
  <c r="AK53"/>
  <c r="AC77"/>
  <c r="AQ77"/>
  <c r="AK77"/>
  <c r="AC55"/>
  <c r="AQ55"/>
  <c r="AK55"/>
  <c r="Z48"/>
  <c r="X94"/>
  <c r="AC87"/>
  <c r="AQ87"/>
  <c r="AK87"/>
  <c r="AC31"/>
  <c r="AQ31"/>
  <c r="AK31"/>
  <c r="AC20"/>
  <c r="AQ20"/>
  <c r="AK20"/>
  <c r="W94"/>
  <c r="Y9"/>
  <c r="AC49"/>
  <c r="AQ49"/>
  <c r="AK49"/>
  <c r="AD8"/>
  <c r="AD93" s="1"/>
  <c r="AR8"/>
  <c r="AL8"/>
  <c r="AL93" s="1"/>
  <c r="Z93"/>
  <c r="AC17"/>
  <c r="AQ17"/>
  <c r="AK17"/>
  <c r="AO93"/>
  <c r="AO100" s="1"/>
  <c r="W95"/>
  <c r="X100" l="1"/>
  <c r="AK95"/>
  <c r="AR93"/>
  <c r="AC9"/>
  <c r="AC94" s="1"/>
  <c r="AQ9"/>
  <c r="AQ94" s="1"/>
  <c r="Y94"/>
  <c r="AK9"/>
  <c r="AK94" s="1"/>
  <c r="AL48"/>
  <c r="AL94" s="1"/>
  <c r="AL100" s="1"/>
  <c r="AD48"/>
  <c r="AD94" s="1"/>
  <c r="AD100" s="1"/>
  <c r="AR48"/>
  <c r="AR94" s="1"/>
  <c r="Z94"/>
  <c r="Z100" s="1"/>
  <c r="W100"/>
  <c r="AQ95"/>
  <c r="AC10"/>
  <c r="AC93" s="1"/>
  <c r="AQ10"/>
  <c r="AQ93" s="1"/>
  <c r="AK10"/>
  <c r="AK93" s="1"/>
  <c r="Y93"/>
  <c r="AC95"/>
  <c r="AR100" l="1"/>
  <c r="AC100"/>
  <c r="AQ100"/>
  <c r="AK100"/>
  <c r="Y100"/>
</calcChain>
</file>

<file path=xl/comments1.xml><?xml version="1.0" encoding="utf-8"?>
<comments xmlns="http://schemas.openxmlformats.org/spreadsheetml/2006/main">
  <authors>
    <author>Автор</author>
  </authors>
  <commentList>
    <comment ref="AI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Акт-передачи в МУП ЖЭУ-10 № 486 от 29.08.17 (Физкуль 124б)</t>
        </r>
      </text>
    </comment>
    <comment ref="BC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 15-А,Кветкина    кв 29-А  Бобчук</t>
        </r>
      </text>
    </comment>
    <comment ref="EJ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 2 по жилой</t>
        </r>
      </text>
    </comment>
    <comment ref="Q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кв.76 44,5 кв.м КЭЧ
</t>
        </r>
      </text>
    </comment>
    <comment ref="BC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 29-А Подвысоцкая,      подъезд № 1 колясочная под жилье квар № 1                            кв 15а под жилье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кв 78 ДВГУПС</t>
        </r>
      </text>
    </comment>
    <comment ref="BC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 86-А Овчар А .П</t>
        </r>
      </text>
    </comment>
    <comment ref="BD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34,6, измен - 6,1м2 щитовая, осталось 28,5м2 (не жилое помещение)</t>
        </r>
      </text>
    </comment>
    <comment ref="BG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1011,5 (1046,1-34,6=1011,5) измен -6,1м2 щитовая стало 1017,6м2</t>
        </r>
      </text>
    </comment>
    <comment ref="BT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918,2 чердак, но в этом доме нет чердака, а есть техэтаж 82,5м2</t>
        </r>
      </text>
    </comment>
    <comment ref="BG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л/кл 243+ коридоры 71,1</t>
        </r>
      </text>
    </comment>
    <comment ref="BA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Шубин 30,2, Росгвардия 167,3,Упр делами Админ 282,8</t>
        </r>
      </text>
    </comment>
    <comment ref="BB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Дан-Макс 59,9</t>
        </r>
      </text>
    </comment>
    <comment ref="BA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упр делами Администрации 238,8</t>
        </r>
      </text>
    </comment>
    <comment ref="BE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Ррдник подвал 170,3</t>
        </r>
      </text>
    </comment>
    <comment ref="BC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 46 пролетка</t>
        </r>
      </text>
    </comment>
    <comment ref="EC3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тариф уменьшили из-за мусоропровода, потом все забыли увеличить когда открыли мусоропроводы. УЖЕ ПОЗДНО.</t>
        </r>
      </text>
    </comment>
    <comment ref="BT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тех этаж 326,72</t>
        </r>
      </text>
    </comment>
    <comment ref="EC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было 37,00, с 01.01.17 26,64</t>
        </r>
      </text>
    </comment>
    <comment ref="BG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Моп Б 171,6+25,53(тех. лестница), В 301,1+18,34(тех. лестница) </t>
        </r>
      </text>
    </comment>
    <comment ref="BD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Электрощитовая 4,0м2, помещения инвентаря 2,5м2</t>
        </r>
      </text>
    </comment>
    <comment ref="BG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105,5 убираемая площадь, 692,2 площ МОП (кухня,душевая, коридоры, л/кл и дт)</t>
        </r>
      </text>
    </comment>
    <comment ref="BG5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новое 136,4</t>
        </r>
      </text>
    </comment>
    <comment ref="BG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новое 218,9</t>
        </r>
      </text>
    </comment>
    <comment ref="BG5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новое 123,0</t>
        </r>
      </text>
    </comment>
    <comment ref="EL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Декштейн и Кузнецова 
кв.58</t>
        </r>
      </text>
    </comment>
    <comment ref="EC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01.08.2019 33,45, было с 01.01.2019 34.95</t>
        </r>
      </text>
    </comment>
    <comment ref="BC6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пролетка кв 30</t>
        </r>
      </text>
    </comment>
    <comment ref="O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кв. 8 управление администрации письмо № 408 от 22.10.08
</t>
        </r>
      </text>
    </comment>
    <comment ref="Q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кв 8 Произ тех упр</t>
        </r>
      </text>
    </comment>
    <comment ref="BD7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изменение площади по договору № 420 от 01.09.14 по ООО    доплатили с ноября 13г. </t>
        </r>
      </text>
    </comment>
    <comment ref="Q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кв 54 про тех упр</t>
        </r>
      </text>
    </comment>
    <comment ref="BD80" authorId="0">
      <text>
        <r>
          <rPr>
            <sz val="9"/>
            <color indexed="81"/>
            <rFont val="Tahoma"/>
            <family val="2"/>
            <charset val="204"/>
          </rPr>
          <t>Эл.щитовая 3,8
для конс 8,0
тех.помещения 50,5
машинное отделение 12,0</t>
        </r>
      </text>
    </comment>
    <comment ref="BG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+ 1 этаж 5,6м2+ 36,7м2 лифты </t>
        </r>
      </text>
    </comment>
    <comment ref="AQ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 ЦТП    ГВС</t>
        </r>
      </text>
    </comment>
    <comment ref="AR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 ЦТП ГВС</t>
        </r>
      </text>
    </comment>
  </commentList>
</comments>
</file>

<file path=xl/sharedStrings.xml><?xml version="1.0" encoding="utf-8"?>
<sst xmlns="http://schemas.openxmlformats.org/spreadsheetml/2006/main" count="492" uniqueCount="204">
  <si>
    <r>
      <t>с ООО</t>
    </r>
    <r>
      <rPr>
        <b/>
        <sz val="8"/>
        <rFont val="Arial Cyr"/>
        <charset val="204"/>
      </rPr>
      <t xml:space="preserve"> УК</t>
    </r>
    <r>
      <rPr>
        <sz val="8"/>
        <rFont val="Arial Cyr"/>
        <charset val="204"/>
      </rPr>
      <t xml:space="preserve"> "ЖЭУ-7"  с 01.02.2009г.</t>
    </r>
  </si>
  <si>
    <t>с ООО на УК с 01.11.2010г.</t>
  </si>
  <si>
    <t>пр.Мира 161-А с 1 сентября 2012г. от РЖД</t>
  </si>
  <si>
    <t>Победы 10-Б с 01.07.13</t>
  </si>
  <si>
    <t>Тихоокеанская 27 с 01.12.13 от ж-1</t>
  </si>
  <si>
    <t>Сахалинская 13 с 01.06.15</t>
  </si>
  <si>
    <t>Победы 6-А под 1 с 01.06.15</t>
  </si>
  <si>
    <t>Невелская 14 кор 2 с 16.05.16( ноаостройка)</t>
  </si>
  <si>
    <t>с 01.07.16 ушел Физкуль 124б(07.07.17)</t>
  </si>
  <si>
    <t>перешел с ООО с 01.04.17 Победы 18,Горького 12, Комсомольская 195 в УК</t>
  </si>
  <si>
    <t>Анкудинова 15 ушел с 21.08.17 в МУП ЖЭУ-10( акт-передачи № 486 от 29.08.17)</t>
  </si>
  <si>
    <t>Детская 18а ушел с 01.10.18 в ООО УК "ЖЭУ-1"</t>
  </si>
  <si>
    <t>Дзержинского 12 с 01.08.19</t>
  </si>
  <si>
    <t>Емельянова 43 с 01.01.219</t>
  </si>
  <si>
    <t>Детская 18-А с 01.03.15</t>
  </si>
  <si>
    <t>Фабричная 14А с 01.10.15</t>
  </si>
  <si>
    <t>Физкультурная 126а ушел в МУП ЖЭУ-10 с 10.12.19</t>
  </si>
  <si>
    <t>№ п/п</t>
  </si>
  <si>
    <t>Улица</t>
  </si>
  <si>
    <t>№ дома</t>
  </si>
  <si>
    <t>Тип дома</t>
  </si>
  <si>
    <t>Инвентаризация жилого фонда жэу-7 на 31 декабря 2020г.</t>
  </si>
  <si>
    <t>Жилые помещения</t>
  </si>
  <si>
    <t>кол-во эл.плит</t>
  </si>
  <si>
    <t>Балансовая стоимость</t>
  </si>
  <si>
    <t>Нежилые помещения</t>
  </si>
  <si>
    <r>
      <t>Площадь  кровли, м</t>
    </r>
    <r>
      <rPr>
        <b/>
        <vertAlign val="superscript"/>
        <sz val="9"/>
        <color indexed="8"/>
        <rFont val="Times New Roman"/>
        <family val="1"/>
        <charset val="204"/>
      </rPr>
      <t>2</t>
    </r>
  </si>
  <si>
    <r>
      <t>Площадь чердаков, м</t>
    </r>
    <r>
      <rPr>
        <b/>
        <vertAlign val="superscript"/>
        <sz val="9"/>
        <color indexed="8"/>
        <rFont val="Times New Roman"/>
        <family val="1"/>
        <charset val="204"/>
      </rPr>
      <t>2</t>
    </r>
  </si>
  <si>
    <r>
      <t>Площадь подвалов, м</t>
    </r>
    <r>
      <rPr>
        <b/>
        <vertAlign val="superscript"/>
        <sz val="9"/>
        <color indexed="8"/>
        <rFont val="Times New Roman"/>
        <family val="1"/>
        <charset val="204"/>
      </rPr>
      <t>2</t>
    </r>
  </si>
  <si>
    <t>Площадь земельного участка        м2</t>
  </si>
  <si>
    <t>Площадь собственников (межевания)    м2</t>
  </si>
  <si>
    <t>Градостроительства и землепользования ( оформлении земельного участка)   нет(-)            да (+)</t>
  </si>
  <si>
    <r>
      <t>Площадь дворовой тер-рии, м</t>
    </r>
    <r>
      <rPr>
        <b/>
        <vertAlign val="superscript"/>
        <sz val="9"/>
        <color indexed="8"/>
        <rFont val="Times New Roman"/>
        <family val="1"/>
        <charset val="204"/>
      </rPr>
      <t xml:space="preserve">2 </t>
    </r>
    <r>
      <rPr>
        <b/>
        <sz val="9"/>
        <color indexed="8"/>
        <rFont val="Times New Roman"/>
        <family val="1"/>
        <charset val="204"/>
      </rPr>
      <t>(по расчетам ЖЭУ )</t>
    </r>
  </si>
  <si>
    <t>В том числе, по классам</t>
  </si>
  <si>
    <t>В том числе, по видам</t>
  </si>
  <si>
    <t>Газоны</t>
  </si>
  <si>
    <t>Дома до 10 лет</t>
  </si>
  <si>
    <t>Дома от 11 до 30 лет</t>
  </si>
  <si>
    <t>Дома свыше 31 года</t>
  </si>
  <si>
    <t>сверка с РКЦ начисления</t>
  </si>
  <si>
    <t>сверка по капитальному ремонту</t>
  </si>
  <si>
    <t>количество квартир</t>
  </si>
  <si>
    <t>год постройки</t>
  </si>
  <si>
    <t>Кол-во этажей</t>
  </si>
  <si>
    <t>Кол-во подъездов</t>
  </si>
  <si>
    <t>Кол-во квартир</t>
  </si>
  <si>
    <t>Кол-во комнат</t>
  </si>
  <si>
    <t>Кол-во к/съемщиков</t>
  </si>
  <si>
    <t>Кол-во прожив.</t>
  </si>
  <si>
    <t>S полезная</t>
  </si>
  <si>
    <t>S жилая</t>
  </si>
  <si>
    <t>S оборудованная</t>
  </si>
  <si>
    <t>S арендат.</t>
  </si>
  <si>
    <t>S под офисы, магаз.</t>
  </si>
  <si>
    <t>S коляс. под жилье раб.ЖЭУ</t>
  </si>
  <si>
    <t>S адм. ЖЭУ</t>
  </si>
  <si>
    <t>S адм. в безвозм. пользован.</t>
  </si>
  <si>
    <t>S адм. под опор. пункт</t>
  </si>
  <si>
    <t>S лестничных клеток</t>
  </si>
  <si>
    <t>коридоры общего пользован. всего</t>
  </si>
  <si>
    <t xml:space="preserve"> в т.ч. коридоры общего польз.убороч. S</t>
  </si>
  <si>
    <t>коридоры общего пользован. общежитий корид.типа</t>
  </si>
  <si>
    <t xml:space="preserve"> в т.ч. коридоры общего пользован. общежитий корид.типа убороч.площ.</t>
  </si>
  <si>
    <t>всего,м2</t>
  </si>
  <si>
    <t>в том числе</t>
  </si>
  <si>
    <t>1-й</t>
  </si>
  <si>
    <t>2-й</t>
  </si>
  <si>
    <t>3-й</t>
  </si>
  <si>
    <t>с усовершенств. покрытием (асф/бет, брусчатые)</t>
  </si>
  <si>
    <t>с неусоверш покрытием (щебеночные,булыжные)</t>
  </si>
  <si>
    <t>без покрытий</t>
  </si>
  <si>
    <t>количество домов</t>
  </si>
  <si>
    <t>Итого квар-тир</t>
  </si>
  <si>
    <t>в домах с открытой электропроводкой, квартира</t>
  </si>
  <si>
    <t>в домах со скрытой электропроводкой, квартира</t>
  </si>
  <si>
    <t>силовые установки, шт.</t>
  </si>
  <si>
    <t>водопровод, квартира</t>
  </si>
  <si>
    <r>
      <t>полезная площадь, м</t>
    </r>
    <r>
      <rPr>
        <b/>
        <vertAlign val="superscript"/>
        <sz val="9"/>
        <rFont val="Times New Roman"/>
        <family val="1"/>
        <charset val="204"/>
      </rPr>
      <t>2</t>
    </r>
  </si>
  <si>
    <t>общая площадь с учетом нежилых помещений, мест общего польз. с коэф. 0,5</t>
  </si>
  <si>
    <r>
      <t>общая площадь с ЦО, м</t>
    </r>
    <r>
      <rPr>
        <b/>
        <vertAlign val="superscript"/>
        <sz val="9"/>
        <color indexed="57"/>
        <rFont val="Times New Roman"/>
        <family val="1"/>
        <charset val="204"/>
      </rPr>
      <t>2</t>
    </r>
  </si>
  <si>
    <r>
      <t>общая площадь с печным отоплением, м</t>
    </r>
    <r>
      <rPr>
        <b/>
        <vertAlign val="superscript"/>
        <sz val="9"/>
        <color indexed="57"/>
        <rFont val="Times New Roman"/>
        <family val="1"/>
        <charset val="204"/>
      </rPr>
      <t>2</t>
    </r>
  </si>
  <si>
    <r>
      <t>Площадь чердаков, м</t>
    </r>
    <r>
      <rPr>
        <b/>
        <vertAlign val="superscript"/>
        <sz val="9"/>
        <color indexed="57"/>
        <rFont val="Times New Roman"/>
        <family val="1"/>
        <charset val="204"/>
      </rPr>
      <t>2</t>
    </r>
  </si>
  <si>
    <t>Площадь кровли , всего м2</t>
  </si>
  <si>
    <r>
      <t>Площадь подвалов, м</t>
    </r>
    <r>
      <rPr>
        <b/>
        <vertAlign val="superscript"/>
        <sz val="9"/>
        <color indexed="57"/>
        <rFont val="Times New Roman"/>
        <family val="1"/>
        <charset val="204"/>
      </rPr>
      <t>2</t>
    </r>
  </si>
  <si>
    <t>количество домов, м2</t>
  </si>
  <si>
    <t>Итого квартир</t>
  </si>
  <si>
    <t>силовые установки,шт.</t>
  </si>
  <si>
    <r>
      <t>общая площадь с ЦО, м</t>
    </r>
    <r>
      <rPr>
        <b/>
        <vertAlign val="superscript"/>
        <sz val="9"/>
        <color indexed="48"/>
        <rFont val="Times New Roman"/>
        <family val="1"/>
        <charset val="204"/>
      </rPr>
      <t>2</t>
    </r>
  </si>
  <si>
    <r>
      <t>общая площадь с печным отоплением, м</t>
    </r>
    <r>
      <rPr>
        <b/>
        <vertAlign val="superscript"/>
        <sz val="9"/>
        <color indexed="48"/>
        <rFont val="Times New Roman"/>
        <family val="1"/>
        <charset val="204"/>
      </rPr>
      <t>2</t>
    </r>
  </si>
  <si>
    <r>
      <t>Площадь чердаков, м</t>
    </r>
    <r>
      <rPr>
        <b/>
        <vertAlign val="superscript"/>
        <sz val="9"/>
        <color indexed="48"/>
        <rFont val="Times New Roman"/>
        <family val="1"/>
        <charset val="204"/>
      </rPr>
      <t>2</t>
    </r>
  </si>
  <si>
    <t>Площадь кровли, м2</t>
  </si>
  <si>
    <r>
      <t>Площадь подвалов, м</t>
    </r>
    <r>
      <rPr>
        <b/>
        <vertAlign val="superscript"/>
        <sz val="9"/>
        <color indexed="48"/>
        <rFont val="Times New Roman"/>
        <family val="1"/>
        <charset val="204"/>
      </rPr>
      <t>2</t>
    </r>
  </si>
  <si>
    <r>
      <t>общая площадь с ЦО, м</t>
    </r>
    <r>
      <rPr>
        <b/>
        <vertAlign val="superscript"/>
        <sz val="9"/>
        <color indexed="61"/>
        <rFont val="Times New Roman"/>
        <family val="1"/>
        <charset val="204"/>
      </rPr>
      <t>2</t>
    </r>
  </si>
  <si>
    <r>
      <t>общая площадь с печным отоплением, м</t>
    </r>
    <r>
      <rPr>
        <b/>
        <vertAlign val="superscript"/>
        <sz val="9"/>
        <color indexed="61"/>
        <rFont val="Times New Roman"/>
        <family val="1"/>
        <charset val="204"/>
      </rPr>
      <t>2</t>
    </r>
  </si>
  <si>
    <r>
      <t>Площадь чердаков, м</t>
    </r>
    <r>
      <rPr>
        <b/>
        <vertAlign val="superscript"/>
        <sz val="9"/>
        <color indexed="61"/>
        <rFont val="Times New Roman"/>
        <family val="1"/>
        <charset val="204"/>
      </rPr>
      <t>2</t>
    </r>
  </si>
  <si>
    <r>
      <t>Площадь подвалов, м</t>
    </r>
    <r>
      <rPr>
        <b/>
        <vertAlign val="superscript"/>
        <sz val="9"/>
        <color indexed="61"/>
        <rFont val="Times New Roman"/>
        <family val="1"/>
        <charset val="204"/>
      </rPr>
      <t>2</t>
    </r>
  </si>
  <si>
    <t>водопровод</t>
  </si>
  <si>
    <t>канализация центральная</t>
  </si>
  <si>
    <t>канализация (септики)</t>
  </si>
  <si>
    <t>отопление от ТЭЦ</t>
  </si>
  <si>
    <t>отопление котел.</t>
  </si>
  <si>
    <t>отопление от бойлеров</t>
  </si>
  <si>
    <t>отопление БКМ</t>
  </si>
  <si>
    <t>ванна,душ</t>
  </si>
  <si>
    <t>гор.вода,  цтп</t>
  </si>
  <si>
    <t>гор.вода,  бойлер</t>
  </si>
  <si>
    <t>гор.вода,  открытый водозабор</t>
  </si>
  <si>
    <t>S обс. эл.плит</t>
  </si>
  <si>
    <t>лифтами</t>
  </si>
  <si>
    <t>мусоропровод</t>
  </si>
  <si>
    <t>всего</t>
  </si>
  <si>
    <t>в том числе, оборудования на лестничных клетках</t>
  </si>
  <si>
    <t>из кровельной стали</t>
  </si>
  <si>
    <t>из рулонных материалов</t>
  </si>
  <si>
    <t>из штучных материалов</t>
  </si>
  <si>
    <t>всего м2</t>
  </si>
  <si>
    <t>всего, м2</t>
  </si>
  <si>
    <t>в т.ч.</t>
  </si>
  <si>
    <t>тариф</t>
  </si>
  <si>
    <t xml:space="preserve">площадь </t>
  </si>
  <si>
    <t>расчет</t>
  </si>
  <si>
    <t>приватизированное</t>
  </si>
  <si>
    <t>муниципальное</t>
  </si>
  <si>
    <t>жил.кв.</t>
  </si>
  <si>
    <t>общеж.</t>
  </si>
  <si>
    <t>выкуп. под жилье</t>
  </si>
  <si>
    <t>пол.</t>
  </si>
  <si>
    <t>жил.</t>
  </si>
  <si>
    <t>лифт, (от 6 до 9 эт.)</t>
  </si>
  <si>
    <t>лифт и м/провод, (от 10 до 16 эт.)</t>
  </si>
  <si>
    <t>лифт и м/провод, (от 6 до 9 эт.)</t>
  </si>
  <si>
    <t xml:space="preserve"> по общей</t>
  </si>
  <si>
    <t>без лифта</t>
  </si>
  <si>
    <t>консьерж</t>
  </si>
  <si>
    <t xml:space="preserve"> кап. Ремонт по жил.пл</t>
  </si>
  <si>
    <t>с лифтом</t>
  </si>
  <si>
    <t xml:space="preserve"> общая</t>
  </si>
  <si>
    <t xml:space="preserve"> жилая</t>
  </si>
  <si>
    <t>общая</t>
  </si>
  <si>
    <t>расчетная площадь</t>
  </si>
  <si>
    <t xml:space="preserve">неначисляемая </t>
  </si>
  <si>
    <t>по общей</t>
  </si>
  <si>
    <t>по жилой</t>
  </si>
  <si>
    <t>кап. Ремонт по жил.пл.</t>
  </si>
  <si>
    <t>кап. Ремонт по общ.пл</t>
  </si>
  <si>
    <t>кап/рем РКЦ</t>
  </si>
  <si>
    <t>разница (руб.)</t>
  </si>
  <si>
    <t>разницакв.м</t>
  </si>
  <si>
    <t>Б-Анкудинова</t>
  </si>
  <si>
    <t>крупнопан.</t>
  </si>
  <si>
    <t>УК</t>
  </si>
  <si>
    <t>крупноблочные</t>
  </si>
  <si>
    <t>11а</t>
  </si>
  <si>
    <t>17а</t>
  </si>
  <si>
    <t>3б</t>
  </si>
  <si>
    <t>шлакоблочные</t>
  </si>
  <si>
    <t>5а</t>
  </si>
  <si>
    <t>Горького</t>
  </si>
  <si>
    <t>18а</t>
  </si>
  <si>
    <t>1993-1994</t>
  </si>
  <si>
    <t>20а</t>
  </si>
  <si>
    <t>14а</t>
  </si>
  <si>
    <t xml:space="preserve">Дзержинского </t>
  </si>
  <si>
    <t>12а</t>
  </si>
  <si>
    <t>Комсомольская</t>
  </si>
  <si>
    <t>167а</t>
  </si>
  <si>
    <t xml:space="preserve">Сахалинская </t>
  </si>
  <si>
    <t xml:space="preserve"> -</t>
  </si>
  <si>
    <t>Невельского</t>
  </si>
  <si>
    <t xml:space="preserve">Невельская </t>
  </si>
  <si>
    <t>14-1</t>
  </si>
  <si>
    <t>Железоб-монолит</t>
  </si>
  <si>
    <t>14-2</t>
  </si>
  <si>
    <t>Озерная</t>
  </si>
  <si>
    <t>2а</t>
  </si>
  <si>
    <t>2б</t>
  </si>
  <si>
    <t>Мира</t>
  </si>
  <si>
    <t>161-а</t>
  </si>
  <si>
    <t>163а</t>
  </si>
  <si>
    <t>Победы</t>
  </si>
  <si>
    <t>6а-1</t>
  </si>
  <si>
    <t>6а-2</t>
  </si>
  <si>
    <t>6б</t>
  </si>
  <si>
    <t>10б-1</t>
  </si>
  <si>
    <t>10б-2</t>
  </si>
  <si>
    <t>10б-3</t>
  </si>
  <si>
    <t>Поповича</t>
  </si>
  <si>
    <t>железоб-монолит</t>
  </si>
  <si>
    <t>22а</t>
  </si>
  <si>
    <t>24а</t>
  </si>
  <si>
    <t>43а</t>
  </si>
  <si>
    <t>45а</t>
  </si>
  <si>
    <t xml:space="preserve">Тихоокеанская </t>
  </si>
  <si>
    <t xml:space="preserve">Фабричная </t>
  </si>
  <si>
    <t xml:space="preserve">Емельянова </t>
  </si>
  <si>
    <t>Физкультурная</t>
  </si>
  <si>
    <t>124а</t>
  </si>
  <si>
    <t>126б</t>
  </si>
  <si>
    <t>Крупнопан.</t>
  </si>
  <si>
    <t>Крупноблочные</t>
  </si>
  <si>
    <t>в т.ч. УК</t>
  </si>
  <si>
    <t>Шлакоблочные</t>
  </si>
  <si>
    <t>ООО</t>
  </si>
  <si>
    <t>ВСЕГО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</si>
</sst>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.0"/>
    <numFmt numFmtId="168" formatCode="#,##0.00_ ;\-#,##0.00\ "/>
  </numFmts>
  <fonts count="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8"/>
      <color indexed="16"/>
      <name val="Arial Cyr"/>
      <charset val="204"/>
    </font>
    <font>
      <sz val="8"/>
      <color indexed="10"/>
      <name val="Arial Cyr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8"/>
      <color indexed="8"/>
      <name val="Arial Cyr"/>
      <charset val="204"/>
    </font>
    <font>
      <i/>
      <sz val="8"/>
      <color indexed="8"/>
      <name val="Arial Cyr"/>
      <charset val="204"/>
    </font>
    <font>
      <b/>
      <sz val="14"/>
      <color indexed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Arial Cyr"/>
      <charset val="204"/>
    </font>
    <font>
      <b/>
      <vertAlign val="superscript"/>
      <sz val="9"/>
      <color indexed="8"/>
      <name val="Times New Roman"/>
      <family val="1"/>
      <charset val="204"/>
    </font>
    <font>
      <b/>
      <sz val="9"/>
      <color indexed="57"/>
      <name val="Times New Roman"/>
      <family val="1"/>
      <charset val="204"/>
    </font>
    <font>
      <b/>
      <sz val="9"/>
      <color indexed="48"/>
      <name val="Times New Roman"/>
      <family val="1"/>
      <charset val="204"/>
    </font>
    <font>
      <b/>
      <sz val="9"/>
      <color indexed="61"/>
      <name val="Times New Roman"/>
      <family val="1"/>
      <charset val="204"/>
    </font>
    <font>
      <b/>
      <sz val="12"/>
      <color indexed="53"/>
      <name val="Arial Cyr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vertAlign val="superscript"/>
      <sz val="9"/>
      <color indexed="57"/>
      <name val="Times New Roman"/>
      <family val="1"/>
      <charset val="204"/>
    </font>
    <font>
      <b/>
      <vertAlign val="superscript"/>
      <sz val="9"/>
      <color indexed="48"/>
      <name val="Times New Roman"/>
      <family val="1"/>
      <charset val="204"/>
    </font>
    <font>
      <b/>
      <vertAlign val="superscript"/>
      <sz val="9"/>
      <color indexed="61"/>
      <name val="Times New Roman"/>
      <family val="1"/>
      <charset val="204"/>
    </font>
    <font>
      <b/>
      <sz val="12"/>
      <name val="Arial Cyr"/>
      <charset val="204"/>
    </font>
    <font>
      <b/>
      <sz val="9"/>
      <color indexed="10"/>
      <name val="Times New Roman"/>
      <family val="1"/>
      <charset val="204"/>
    </font>
    <font>
      <b/>
      <sz val="9"/>
      <color indexed="16"/>
      <name val="Times New Roman"/>
      <family val="1"/>
      <charset val="204"/>
    </font>
    <font>
      <sz val="9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sz val="10"/>
      <color indexed="12"/>
      <name val="Arial Cyr"/>
      <charset val="204"/>
    </font>
    <font>
      <sz val="10"/>
      <color indexed="16"/>
      <name val="Arial Cyr"/>
      <charset val="204"/>
    </font>
    <font>
      <b/>
      <sz val="9"/>
      <color indexed="16"/>
      <name val="Arial Cyr"/>
      <charset val="204"/>
    </font>
    <font>
      <b/>
      <sz val="10"/>
      <color indexed="16"/>
      <name val="Arial Cyr"/>
      <charset val="204"/>
    </font>
    <font>
      <b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1" xfId="0" applyFont="1" applyBorder="1" applyAlignment="1"/>
    <xf numFmtId="0" fontId="6" fillId="0" borderId="0" xfId="0" applyFont="1" applyFill="1"/>
    <xf numFmtId="0" fontId="0" fillId="0" borderId="0" xfId="0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0" fillId="0" borderId="1" xfId="0" applyFill="1" applyBorder="1" applyAlignment="1"/>
    <xf numFmtId="166" fontId="5" fillId="0" borderId="0" xfId="1" applyNumberFormat="1" applyFont="1" applyFill="1"/>
    <xf numFmtId="0" fontId="12" fillId="0" borderId="4" xfId="0" applyFont="1" applyBorder="1" applyAlignment="1"/>
    <xf numFmtId="0" fontId="12" fillId="0" borderId="5" xfId="0" applyFont="1" applyBorder="1" applyAlignment="1"/>
    <xf numFmtId="0" fontId="28" fillId="0" borderId="11" xfId="0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166" fontId="17" fillId="0" borderId="14" xfId="1" applyNumberFormat="1" applyFont="1" applyFill="1" applyBorder="1" applyAlignment="1">
      <alignment horizontal="center" wrapText="1"/>
    </xf>
    <xf numFmtId="166" fontId="17" fillId="0" borderId="11" xfId="1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66" fontId="18" fillId="0" borderId="14" xfId="1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166" fontId="19" fillId="0" borderId="14" xfId="1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2" borderId="15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29" fillId="0" borderId="12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0" fillId="0" borderId="3" xfId="0" applyFill="1" applyBorder="1"/>
    <xf numFmtId="0" fontId="0" fillId="0" borderId="15" xfId="0" applyFill="1" applyBorder="1"/>
    <xf numFmtId="0" fontId="0" fillId="0" borderId="4" xfId="0" applyFill="1" applyBorder="1"/>
    <xf numFmtId="0" fontId="0" fillId="0" borderId="15" xfId="0" applyBorder="1"/>
    <xf numFmtId="0" fontId="30" fillId="0" borderId="16" xfId="0" applyFont="1" applyBorder="1"/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165" fontId="5" fillId="0" borderId="17" xfId="1" applyNumberFormat="1" applyFont="1" applyFill="1" applyBorder="1" applyAlignment="1">
      <alignment horizontal="center" wrapText="1"/>
    </xf>
    <xf numFmtId="0" fontId="0" fillId="3" borderId="16" xfId="0" applyFill="1" applyBorder="1"/>
    <xf numFmtId="0" fontId="5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NumberFormat="1" applyFont="1" applyBorder="1" applyAlignment="1">
      <alignment horizontal="center" wrapText="1"/>
    </xf>
    <xf numFmtId="0" fontId="32" fillId="0" borderId="18" xfId="0" applyFont="1" applyFill="1" applyBorder="1" applyAlignment="1">
      <alignment horizontal="center" wrapText="1"/>
    </xf>
    <xf numFmtId="2" fontId="5" fillId="0" borderId="17" xfId="1" applyNumberFormat="1" applyFont="1" applyFill="1" applyBorder="1" applyAlignment="1">
      <alignment horizontal="center" wrapText="1"/>
    </xf>
    <xf numFmtId="166" fontId="5" fillId="0" borderId="17" xfId="1" applyNumberFormat="1" applyFont="1" applyFill="1" applyBorder="1" applyAlignment="1">
      <alignment horizontal="center" wrapText="1"/>
    </xf>
    <xf numFmtId="2" fontId="5" fillId="0" borderId="17" xfId="1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textRotation="90" wrapText="1"/>
    </xf>
    <xf numFmtId="0" fontId="0" fillId="0" borderId="19" xfId="0" applyFont="1" applyFill="1" applyBorder="1" applyAlignment="1">
      <alignment horizontal="center" textRotation="90" wrapText="1"/>
    </xf>
    <xf numFmtId="0" fontId="0" fillId="0" borderId="20" xfId="0" applyFill="1" applyBorder="1"/>
    <xf numFmtId="0" fontId="0" fillId="0" borderId="21" xfId="0" applyFill="1" applyBorder="1"/>
    <xf numFmtId="2" fontId="0" fillId="0" borderId="21" xfId="0" applyNumberFormat="1" applyFill="1" applyBorder="1"/>
    <xf numFmtId="2" fontId="0" fillId="0" borderId="20" xfId="0" applyNumberFormat="1" applyFill="1" applyBorder="1"/>
    <xf numFmtId="2" fontId="0" fillId="0" borderId="20" xfId="0" applyNumberFormat="1" applyBorder="1"/>
    <xf numFmtId="0" fontId="0" fillId="0" borderId="22" xfId="0" applyBorder="1"/>
    <xf numFmtId="2" fontId="0" fillId="0" borderId="16" xfId="0" applyNumberFormat="1" applyBorder="1"/>
    <xf numFmtId="2" fontId="0" fillId="0" borderId="0" xfId="0" applyNumberFormat="1"/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1" fillId="0" borderId="16" xfId="0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32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top" wrapText="1"/>
    </xf>
    <xf numFmtId="2" fontId="5" fillId="0" borderId="16" xfId="1" applyNumberFormat="1" applyFont="1" applyFill="1" applyBorder="1" applyAlignment="1">
      <alignment horizontal="center" wrapText="1"/>
    </xf>
    <xf numFmtId="166" fontId="5" fillId="0" borderId="16" xfId="1" applyNumberFormat="1" applyFont="1" applyFill="1" applyBorder="1" applyAlignment="1">
      <alignment horizontal="center" wrapText="1"/>
    </xf>
    <xf numFmtId="2" fontId="5" fillId="0" borderId="16" xfId="1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textRotation="90" wrapText="1"/>
    </xf>
    <xf numFmtId="166" fontId="5" fillId="0" borderId="16" xfId="1" applyNumberFormat="1" applyFont="1" applyFill="1" applyBorder="1" applyAlignment="1">
      <alignment horizontal="center" textRotation="90" wrapText="1"/>
    </xf>
    <xf numFmtId="0" fontId="0" fillId="0" borderId="16" xfId="0" applyFont="1" applyFill="1" applyBorder="1" applyAlignment="1">
      <alignment horizontal="center" vertical="top" textRotation="90" wrapText="1"/>
    </xf>
    <xf numFmtId="0" fontId="0" fillId="0" borderId="23" xfId="0" applyFont="1" applyFill="1" applyBorder="1" applyAlignment="1">
      <alignment horizontal="center" vertical="top" textRotation="90" wrapText="1"/>
    </xf>
    <xf numFmtId="0" fontId="0" fillId="0" borderId="16" xfId="0" applyFill="1" applyBorder="1"/>
    <xf numFmtId="0" fontId="0" fillId="0" borderId="16" xfId="0" applyBorder="1"/>
    <xf numFmtId="0" fontId="0" fillId="4" borderId="16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wrapText="1"/>
    </xf>
    <xf numFmtId="0" fontId="0" fillId="4" borderId="16" xfId="0" applyFont="1" applyFill="1" applyBorder="1" applyAlignment="1">
      <alignment horizontal="center" wrapText="1"/>
    </xf>
    <xf numFmtId="165" fontId="5" fillId="4" borderId="16" xfId="1" applyNumberFormat="1" applyFont="1" applyFill="1" applyBorder="1" applyAlignment="1">
      <alignment horizontal="center" wrapText="1"/>
    </xf>
    <xf numFmtId="0" fontId="0" fillId="4" borderId="16" xfId="0" applyFill="1" applyBorder="1"/>
    <xf numFmtId="0" fontId="5" fillId="4" borderId="16" xfId="0" applyFont="1" applyFill="1" applyBorder="1" applyAlignment="1">
      <alignment horizontal="center" wrapText="1"/>
    </xf>
    <xf numFmtId="0" fontId="31" fillId="4" borderId="16" xfId="0" applyFont="1" applyFill="1" applyBorder="1" applyAlignment="1">
      <alignment horizontal="center" wrapText="1"/>
    </xf>
    <xf numFmtId="167" fontId="0" fillId="4" borderId="16" xfId="0" applyNumberFormat="1" applyFont="1" applyFill="1" applyBorder="1" applyAlignment="1">
      <alignment horizontal="center" wrapText="1"/>
    </xf>
    <xf numFmtId="0" fontId="0" fillId="4" borderId="20" xfId="0" applyFont="1" applyFill="1" applyBorder="1" applyAlignment="1">
      <alignment horizontal="center" wrapText="1"/>
    </xf>
    <xf numFmtId="0" fontId="32" fillId="4" borderId="16" xfId="0" applyFont="1" applyFill="1" applyBorder="1" applyAlignment="1">
      <alignment horizontal="center" wrapText="1"/>
    </xf>
    <xf numFmtId="2" fontId="5" fillId="4" borderId="16" xfId="1" applyNumberFormat="1" applyFont="1" applyFill="1" applyBorder="1" applyAlignment="1">
      <alignment horizontal="center" wrapText="1"/>
    </xf>
    <xf numFmtId="166" fontId="5" fillId="4" borderId="16" xfId="1" applyNumberFormat="1" applyFont="1" applyFill="1" applyBorder="1" applyAlignment="1">
      <alignment horizontal="center" wrapText="1"/>
    </xf>
    <xf numFmtId="2" fontId="5" fillId="4" borderId="16" xfId="1" applyNumberFormat="1" applyFont="1" applyFill="1" applyBorder="1" applyAlignment="1">
      <alignment horizontal="center" vertical="top" wrapText="1"/>
    </xf>
    <xf numFmtId="0" fontId="0" fillId="4" borderId="16" xfId="0" applyFont="1" applyFill="1" applyBorder="1" applyAlignment="1">
      <alignment horizontal="center" textRotation="90" wrapText="1"/>
    </xf>
    <xf numFmtId="0" fontId="0" fillId="4" borderId="23" xfId="0" applyFont="1" applyFill="1" applyBorder="1" applyAlignment="1">
      <alignment horizontal="center" textRotation="90" wrapText="1"/>
    </xf>
    <xf numFmtId="0" fontId="0" fillId="4" borderId="20" xfId="0" applyFill="1" applyBorder="1"/>
    <xf numFmtId="0" fontId="0" fillId="4" borderId="21" xfId="0" applyFill="1" applyBorder="1"/>
    <xf numFmtId="2" fontId="0" fillId="4" borderId="21" xfId="0" applyNumberFormat="1" applyFill="1" applyBorder="1"/>
    <xf numFmtId="2" fontId="0" fillId="4" borderId="20" xfId="0" applyNumberFormat="1" applyFill="1" applyBorder="1"/>
    <xf numFmtId="2" fontId="0" fillId="4" borderId="16" xfId="0" applyNumberFormat="1" applyFill="1" applyBorder="1"/>
    <xf numFmtId="167" fontId="0" fillId="4" borderId="16" xfId="0" applyNumberFormat="1" applyFont="1" applyFill="1" applyBorder="1" applyAlignment="1">
      <alignment horizontal="left" wrapText="1" indent="2"/>
    </xf>
    <xf numFmtId="0" fontId="0" fillId="4" borderId="16" xfId="0" applyFont="1" applyFill="1" applyBorder="1" applyAlignment="1">
      <alignment horizontal="center" vertical="top" wrapText="1"/>
    </xf>
    <xf numFmtId="166" fontId="5" fillId="4" borderId="16" xfId="1" applyNumberFormat="1" applyFont="1" applyFill="1" applyBorder="1" applyAlignment="1">
      <alignment horizontal="center" textRotation="90" wrapText="1"/>
    </xf>
    <xf numFmtId="0" fontId="0" fillId="4" borderId="16" xfId="0" applyFont="1" applyFill="1" applyBorder="1" applyAlignment="1">
      <alignment horizontal="center" vertical="top" textRotation="90" wrapText="1"/>
    </xf>
    <xf numFmtId="0" fontId="0" fillId="4" borderId="23" xfId="0" applyFont="1" applyFill="1" applyBorder="1" applyAlignment="1">
      <alignment horizontal="center" vertical="top" textRotation="90" wrapText="1"/>
    </xf>
    <xf numFmtId="0" fontId="0" fillId="0" borderId="16" xfId="0" applyFill="1" applyBorder="1" applyAlignment="1">
      <alignment horizontal="center" wrapText="1"/>
    </xf>
    <xf numFmtId="165" fontId="5" fillId="0" borderId="16" xfId="1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vertical="top" wrapText="1"/>
    </xf>
    <xf numFmtId="166" fontId="5" fillId="0" borderId="16" xfId="1" applyNumberFormat="1" applyFont="1" applyFill="1" applyBorder="1" applyAlignment="1">
      <alignment horizontal="center" vertical="top" wrapText="1"/>
    </xf>
    <xf numFmtId="166" fontId="0" fillId="0" borderId="16" xfId="0" applyNumberFormat="1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5" fillId="4" borderId="16" xfId="1" applyNumberFormat="1" applyFont="1" applyFill="1" applyBorder="1" applyAlignment="1">
      <alignment horizontal="right" vertical="top" wrapText="1"/>
    </xf>
    <xf numFmtId="165" fontId="5" fillId="4" borderId="16" xfId="1" applyNumberFormat="1" applyFont="1" applyFill="1" applyBorder="1" applyAlignment="1">
      <alignment horizontal="center" vertical="top" wrapText="1"/>
    </xf>
    <xf numFmtId="166" fontId="5" fillId="4" borderId="16" xfId="1" applyNumberFormat="1" applyFont="1" applyFill="1" applyBorder="1" applyAlignment="1">
      <alignment horizontal="center" vertical="top" wrapText="1"/>
    </xf>
    <xf numFmtId="167" fontId="0" fillId="4" borderId="16" xfId="0" applyNumberFormat="1" applyFont="1" applyFill="1" applyBorder="1" applyAlignment="1">
      <alignment horizontal="center" vertical="top" wrapText="1"/>
    </xf>
    <xf numFmtId="166" fontId="0" fillId="4" borderId="16" xfId="0" applyNumberFormat="1" applyFont="1" applyFill="1" applyBorder="1" applyAlignment="1">
      <alignment horizontal="center" vertical="top" wrapText="1"/>
    </xf>
    <xf numFmtId="0" fontId="0" fillId="4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textRotation="90" wrapText="1"/>
    </xf>
    <xf numFmtId="0" fontId="0" fillId="0" borderId="16" xfId="0" applyFill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167" fontId="0" fillId="0" borderId="16" xfId="0" applyNumberFormat="1" applyFont="1" applyFill="1" applyBorder="1" applyAlignment="1">
      <alignment horizontal="center" wrapText="1"/>
    </xf>
    <xf numFmtId="0" fontId="0" fillId="5" borderId="16" xfId="0" applyFill="1" applyBorder="1"/>
    <xf numFmtId="2" fontId="0" fillId="4" borderId="16" xfId="0" applyNumberFormat="1" applyFont="1" applyFill="1" applyBorder="1" applyAlignment="1">
      <alignment horizontal="center" wrapText="1"/>
    </xf>
    <xf numFmtId="2" fontId="0" fillId="4" borderId="16" xfId="1" applyNumberFormat="1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vertical="top" wrapText="1"/>
    </xf>
    <xf numFmtId="0" fontId="0" fillId="3" borderId="16" xfId="0" applyFont="1" applyFill="1" applyBorder="1" applyAlignment="1">
      <alignment horizontal="center" wrapText="1"/>
    </xf>
    <xf numFmtId="165" fontId="5" fillId="3" borderId="16" xfId="1" applyNumberFormat="1" applyFont="1" applyFill="1" applyBorder="1" applyAlignment="1">
      <alignment horizontal="center" vertical="top" wrapText="1"/>
    </xf>
    <xf numFmtId="0" fontId="0" fillId="3" borderId="16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wrapText="1"/>
    </xf>
    <xf numFmtId="0" fontId="31" fillId="3" borderId="16" xfId="0" applyFont="1" applyFill="1" applyBorder="1" applyAlignment="1">
      <alignment horizontal="center" wrapText="1"/>
    </xf>
    <xf numFmtId="0" fontId="0" fillId="3" borderId="20" xfId="0" applyFont="1" applyFill="1" applyBorder="1" applyAlignment="1">
      <alignment horizontal="center" wrapText="1"/>
    </xf>
    <xf numFmtId="0" fontId="32" fillId="3" borderId="16" xfId="0" applyFont="1" applyFill="1" applyBorder="1" applyAlignment="1">
      <alignment horizontal="center" wrapText="1"/>
    </xf>
    <xf numFmtId="2" fontId="5" fillId="3" borderId="16" xfId="1" applyNumberFormat="1" applyFont="1" applyFill="1" applyBorder="1" applyAlignment="1">
      <alignment horizontal="center" wrapText="1"/>
    </xf>
    <xf numFmtId="166" fontId="5" fillId="3" borderId="16" xfId="1" applyNumberFormat="1" applyFont="1" applyFill="1" applyBorder="1" applyAlignment="1">
      <alignment horizontal="center" vertical="top" wrapText="1"/>
    </xf>
    <xf numFmtId="2" fontId="5" fillId="3" borderId="16" xfId="1" applyNumberFormat="1" applyFont="1" applyFill="1" applyBorder="1" applyAlignment="1">
      <alignment horizontal="center" vertical="top" wrapText="1"/>
    </xf>
    <xf numFmtId="0" fontId="0" fillId="3" borderId="16" xfId="0" applyFont="1" applyFill="1" applyBorder="1" applyAlignment="1">
      <alignment horizontal="center" vertical="top" textRotation="90" wrapText="1"/>
    </xf>
    <xf numFmtId="166" fontId="0" fillId="3" borderId="16" xfId="0" applyNumberFormat="1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0" fillId="3" borderId="20" xfId="0" applyFill="1" applyBorder="1"/>
    <xf numFmtId="0" fontId="0" fillId="3" borderId="21" xfId="0" applyFill="1" applyBorder="1"/>
    <xf numFmtId="2" fontId="0" fillId="3" borderId="21" xfId="0" applyNumberFormat="1" applyFill="1" applyBorder="1"/>
    <xf numFmtId="2" fontId="0" fillId="3" borderId="20" xfId="0" applyNumberFormat="1" applyFill="1" applyBorder="1"/>
    <xf numFmtId="2" fontId="0" fillId="3" borderId="16" xfId="0" applyNumberFormat="1" applyFill="1" applyBorder="1"/>
    <xf numFmtId="0" fontId="0" fillId="3" borderId="0" xfId="0" applyFill="1"/>
    <xf numFmtId="164" fontId="5" fillId="3" borderId="16" xfId="1" applyNumberFormat="1" applyFont="1" applyFill="1" applyBorder="1" applyAlignment="1">
      <alignment horizontal="center" vertical="top" wrapText="1"/>
    </xf>
    <xf numFmtId="167" fontId="0" fillId="3" borderId="16" xfId="0" applyNumberFormat="1" applyFont="1" applyFill="1" applyBorder="1" applyAlignment="1">
      <alignment horizontal="center" vertical="top" wrapText="1"/>
    </xf>
    <xf numFmtId="0" fontId="33" fillId="4" borderId="16" xfId="0" applyFont="1" applyFill="1" applyBorder="1" applyAlignment="1">
      <alignment horizontal="center" wrapText="1"/>
    </xf>
    <xf numFmtId="165" fontId="5" fillId="3" borderId="16" xfId="1" applyNumberFormat="1" applyFont="1" applyFill="1" applyBorder="1" applyAlignment="1">
      <alignment horizontal="center" wrapText="1"/>
    </xf>
    <xf numFmtId="0" fontId="33" fillId="3" borderId="16" xfId="0" applyFont="1" applyFill="1" applyBorder="1" applyAlignment="1">
      <alignment horizontal="center" wrapText="1"/>
    </xf>
    <xf numFmtId="166" fontId="5" fillId="3" borderId="16" xfId="1" applyNumberFormat="1" applyFont="1" applyFill="1" applyBorder="1" applyAlignment="1">
      <alignment horizontal="center" wrapText="1"/>
    </xf>
    <xf numFmtId="167" fontId="0" fillId="3" borderId="16" xfId="0" applyNumberFormat="1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textRotation="90" wrapText="1"/>
    </xf>
    <xf numFmtId="166" fontId="5" fillId="3" borderId="16" xfId="1" applyNumberFormat="1" applyFont="1" applyFill="1" applyBorder="1" applyAlignment="1">
      <alignment horizontal="center" textRotation="90" wrapText="1"/>
    </xf>
    <xf numFmtId="0" fontId="0" fillId="3" borderId="23" xfId="0" applyFont="1" applyFill="1" applyBorder="1" applyAlignment="1">
      <alignment horizontal="center" vertical="top" textRotation="90" wrapText="1"/>
    </xf>
    <xf numFmtId="0" fontId="33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textRotation="90" wrapText="1"/>
    </xf>
    <xf numFmtId="0" fontId="5" fillId="0" borderId="16" xfId="0" applyFont="1" applyFill="1" applyBorder="1" applyAlignment="1">
      <alignment horizontal="center" vertical="top" textRotation="90" wrapText="1"/>
    </xf>
    <xf numFmtId="0" fontId="5" fillId="0" borderId="23" xfId="0" applyFont="1" applyFill="1" applyBorder="1" applyAlignment="1">
      <alignment horizontal="center" vertical="top" textRotation="90" wrapText="1"/>
    </xf>
    <xf numFmtId="0" fontId="5" fillId="0" borderId="16" xfId="0" applyFont="1" applyFill="1" applyBorder="1"/>
    <xf numFmtId="0" fontId="5" fillId="0" borderId="21" xfId="0" applyFont="1" applyFill="1" applyBorder="1"/>
    <xf numFmtId="2" fontId="5" fillId="0" borderId="21" xfId="0" applyNumberFormat="1" applyFont="1" applyFill="1" applyBorder="1"/>
    <xf numFmtId="0" fontId="8" fillId="3" borderId="16" xfId="0" applyFont="1" applyFill="1" applyBorder="1" applyAlignment="1">
      <alignment horizontal="center" vertical="top" wrapText="1"/>
    </xf>
    <xf numFmtId="49" fontId="0" fillId="3" borderId="16" xfId="0" applyNumberFormat="1" applyFill="1" applyBorder="1" applyAlignment="1">
      <alignment horizontal="left" vertical="center"/>
    </xf>
    <xf numFmtId="167" fontId="5" fillId="3" borderId="16" xfId="1" applyNumberFormat="1" applyFont="1" applyFill="1" applyBorder="1" applyAlignment="1">
      <alignment horizontal="center" vertical="top" wrapText="1"/>
    </xf>
    <xf numFmtId="2" fontId="0" fillId="0" borderId="16" xfId="0" applyNumberFormat="1" applyFont="1" applyFill="1" applyBorder="1" applyAlignment="1">
      <alignment horizontal="center" wrapText="1"/>
    </xf>
    <xf numFmtId="0" fontId="32" fillId="0" borderId="0" xfId="0" applyFont="1" applyFill="1"/>
    <xf numFmtId="164" fontId="5" fillId="0" borderId="16" xfId="1" applyNumberFormat="1" applyFont="1" applyFill="1" applyBorder="1" applyAlignment="1">
      <alignment horizontal="center" wrapText="1"/>
    </xf>
    <xf numFmtId="167" fontId="5" fillId="0" borderId="16" xfId="1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 wrapText="1"/>
    </xf>
    <xf numFmtId="168" fontId="5" fillId="0" borderId="16" xfId="1" applyNumberFormat="1" applyFont="1" applyFill="1" applyBorder="1" applyAlignment="1">
      <alignment horizontal="center" vertical="top" wrapText="1"/>
    </xf>
    <xf numFmtId="164" fontId="5" fillId="0" borderId="16" xfId="1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16" xfId="1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2" fontId="0" fillId="0" borderId="16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textRotation="90" wrapText="1"/>
    </xf>
    <xf numFmtId="0" fontId="32" fillId="0" borderId="16" xfId="0" applyFont="1" applyFill="1" applyBorder="1" applyAlignment="1">
      <alignment horizontal="center" vertical="top" wrapText="1"/>
    </xf>
    <xf numFmtId="0" fontId="0" fillId="6" borderId="16" xfId="0" applyFill="1" applyBorder="1" applyAlignment="1">
      <alignment horizontal="left" vertical="center"/>
    </xf>
    <xf numFmtId="0" fontId="0" fillId="6" borderId="1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wrapText="1"/>
    </xf>
    <xf numFmtId="0" fontId="0" fillId="6" borderId="16" xfId="0" applyFont="1" applyFill="1" applyBorder="1" applyAlignment="1">
      <alignment horizontal="center" vertical="top" wrapText="1"/>
    </xf>
    <xf numFmtId="0" fontId="0" fillId="6" borderId="16" xfId="0" applyFont="1" applyFill="1" applyBorder="1" applyAlignment="1">
      <alignment horizontal="center" wrapText="1"/>
    </xf>
    <xf numFmtId="165" fontId="5" fillId="6" borderId="16" xfId="1" applyNumberFormat="1" applyFont="1" applyFill="1" applyBorder="1" applyAlignment="1">
      <alignment horizontal="center" vertical="top" wrapText="1"/>
    </xf>
    <xf numFmtId="0" fontId="0" fillId="6" borderId="16" xfId="0" applyFill="1" applyBorder="1"/>
    <xf numFmtId="0" fontId="5" fillId="6" borderId="16" xfId="0" applyFont="1" applyFill="1" applyBorder="1" applyAlignment="1">
      <alignment horizontal="center" wrapText="1"/>
    </xf>
    <xf numFmtId="0" fontId="31" fillId="6" borderId="16" xfId="0" applyFont="1" applyFill="1" applyBorder="1" applyAlignment="1">
      <alignment horizontal="center" vertical="top" wrapText="1"/>
    </xf>
    <xf numFmtId="0" fontId="0" fillId="6" borderId="20" xfId="0" applyFont="1" applyFill="1" applyBorder="1" applyAlignment="1">
      <alignment horizontal="center" wrapText="1"/>
    </xf>
    <xf numFmtId="0" fontId="32" fillId="6" borderId="16" xfId="0" applyFont="1" applyFill="1" applyBorder="1" applyAlignment="1">
      <alignment horizontal="center" wrapText="1"/>
    </xf>
    <xf numFmtId="2" fontId="5" fillId="6" borderId="16" xfId="1" applyNumberFormat="1" applyFont="1" applyFill="1" applyBorder="1" applyAlignment="1">
      <alignment horizontal="center" wrapText="1"/>
    </xf>
    <xf numFmtId="168" fontId="5" fillId="6" borderId="16" xfId="1" applyNumberFormat="1" applyFont="1" applyFill="1" applyBorder="1" applyAlignment="1">
      <alignment horizontal="center" vertical="top" wrapText="1"/>
    </xf>
    <xf numFmtId="2" fontId="5" fillId="6" borderId="16" xfId="1" applyNumberFormat="1" applyFont="1" applyFill="1" applyBorder="1" applyAlignment="1">
      <alignment horizontal="center" vertical="top" wrapText="1"/>
    </xf>
    <xf numFmtId="166" fontId="5" fillId="6" borderId="16" xfId="1" applyNumberFormat="1" applyFont="1" applyFill="1" applyBorder="1" applyAlignment="1">
      <alignment horizontal="center" vertical="top" wrapText="1"/>
    </xf>
    <xf numFmtId="0" fontId="0" fillId="6" borderId="16" xfId="0" applyFont="1" applyFill="1" applyBorder="1" applyAlignment="1">
      <alignment horizontal="center" vertical="top" textRotation="90" wrapText="1"/>
    </xf>
    <xf numFmtId="166" fontId="0" fillId="6" borderId="16" xfId="0" applyNumberFormat="1" applyFont="1" applyFill="1" applyBorder="1" applyAlignment="1">
      <alignment horizontal="center" vertical="top" wrapText="1"/>
    </xf>
    <xf numFmtId="0" fontId="0" fillId="6" borderId="23" xfId="0" applyFont="1" applyFill="1" applyBorder="1" applyAlignment="1">
      <alignment horizontal="center" vertical="top" wrapText="1"/>
    </xf>
    <xf numFmtId="0" fontId="0" fillId="6" borderId="20" xfId="0" applyFill="1" applyBorder="1"/>
    <xf numFmtId="0" fontId="0" fillId="6" borderId="21" xfId="0" applyFill="1" applyBorder="1"/>
    <xf numFmtId="2" fontId="0" fillId="6" borderId="21" xfId="0" applyNumberFormat="1" applyFill="1" applyBorder="1"/>
    <xf numFmtId="2" fontId="0" fillId="6" borderId="20" xfId="0" applyNumberFormat="1" applyFill="1" applyBorder="1"/>
    <xf numFmtId="2" fontId="0" fillId="6" borderId="16" xfId="0" applyNumberFormat="1" applyFill="1" applyBorder="1"/>
    <xf numFmtId="0" fontId="31" fillId="0" borderId="16" xfId="0" applyFont="1" applyFill="1" applyBorder="1" applyAlignment="1">
      <alignment horizontal="center" vertical="top" wrapText="1"/>
    </xf>
    <xf numFmtId="0" fontId="0" fillId="7" borderId="16" xfId="0" applyFill="1" applyBorder="1"/>
    <xf numFmtId="2" fontId="0" fillId="0" borderId="16" xfId="0" applyNumberFormat="1" applyFill="1" applyBorder="1"/>
    <xf numFmtId="0" fontId="30" fillId="0" borderId="24" xfId="0" applyFont="1" applyBorder="1"/>
    <xf numFmtId="0" fontId="0" fillId="0" borderId="23" xfId="0" applyFill="1" applyBorder="1"/>
    <xf numFmtId="0" fontId="30" fillId="0" borderId="25" xfId="0" applyFont="1" applyBorder="1"/>
    <xf numFmtId="0" fontId="0" fillId="0" borderId="26" xfId="0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wrapText="1"/>
    </xf>
    <xf numFmtId="165" fontId="5" fillId="0" borderId="26" xfId="1" applyNumberFormat="1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34" fillId="0" borderId="26" xfId="0" applyFont="1" applyFill="1" applyBorder="1" applyAlignment="1">
      <alignment horizontal="center" wrapText="1"/>
    </xf>
    <xf numFmtId="0" fontId="32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vertical="top" wrapText="1"/>
    </xf>
    <xf numFmtId="2" fontId="5" fillId="0" borderId="26" xfId="1" applyNumberFormat="1" applyFont="1" applyFill="1" applyBorder="1" applyAlignment="1">
      <alignment horizontal="center" wrapText="1"/>
    </xf>
    <xf numFmtId="166" fontId="5" fillId="0" borderId="26" xfId="1" applyNumberFormat="1" applyFont="1" applyFill="1" applyBorder="1" applyAlignment="1">
      <alignment horizontal="center" wrapText="1"/>
    </xf>
    <xf numFmtId="2" fontId="5" fillId="0" borderId="26" xfId="1" applyNumberFormat="1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textRotation="90" wrapText="1"/>
    </xf>
    <xf numFmtId="166" fontId="5" fillId="0" borderId="26" xfId="1" applyNumberFormat="1" applyFont="1" applyFill="1" applyBorder="1" applyAlignment="1">
      <alignment horizontal="center" textRotation="90" wrapText="1"/>
    </xf>
    <xf numFmtId="0" fontId="0" fillId="0" borderId="26" xfId="0" applyFont="1" applyFill="1" applyBorder="1" applyAlignment="1">
      <alignment horizontal="center" vertical="top" textRotation="90" wrapText="1"/>
    </xf>
    <xf numFmtId="0" fontId="0" fillId="0" borderId="27" xfId="0" applyFont="1" applyFill="1" applyBorder="1" applyAlignment="1">
      <alignment horizontal="center" vertical="top" textRotation="90" wrapText="1"/>
    </xf>
    <xf numFmtId="0" fontId="0" fillId="0" borderId="26" xfId="0" applyFill="1" applyBorder="1"/>
    <xf numFmtId="0" fontId="0" fillId="0" borderId="27" xfId="0" applyFill="1" applyBorder="1"/>
    <xf numFmtId="0" fontId="0" fillId="0" borderId="26" xfId="0" applyBorder="1"/>
    <xf numFmtId="0" fontId="30" fillId="0" borderId="28" xfId="0" applyFont="1" applyBorder="1"/>
    <xf numFmtId="0" fontId="0" fillId="0" borderId="18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166" fontId="5" fillId="0" borderId="17" xfId="1" applyNumberFormat="1" applyFont="1" applyFill="1" applyBorder="1" applyAlignment="1">
      <alignment horizontal="center" textRotation="90" wrapText="1"/>
    </xf>
    <xf numFmtId="0" fontId="0" fillId="0" borderId="17" xfId="0" applyFont="1" applyFill="1" applyBorder="1" applyAlignment="1">
      <alignment horizontal="center" vertical="top" textRotation="90" wrapText="1"/>
    </xf>
    <xf numFmtId="0" fontId="0" fillId="0" borderId="19" xfId="0" applyFont="1" applyFill="1" applyBorder="1" applyAlignment="1">
      <alignment horizontal="center" vertical="top" textRotation="90" wrapText="1"/>
    </xf>
    <xf numFmtId="0" fontId="0" fillId="0" borderId="28" xfId="0" applyFill="1" applyBorder="1"/>
    <xf numFmtId="0" fontId="0" fillId="0" borderId="17" xfId="0" applyFill="1" applyBorder="1"/>
    <xf numFmtId="0" fontId="0" fillId="0" borderId="19" xfId="0" applyFill="1" applyBorder="1"/>
    <xf numFmtId="2" fontId="0" fillId="0" borderId="19" xfId="0" applyNumberFormat="1" applyFill="1" applyBorder="1"/>
    <xf numFmtId="2" fontId="0" fillId="0" borderId="29" xfId="0" applyNumberFormat="1" applyFill="1" applyBorder="1"/>
    <xf numFmtId="2" fontId="0" fillId="0" borderId="28" xfId="0" applyNumberFormat="1" applyBorder="1"/>
    <xf numFmtId="0" fontId="0" fillId="0" borderId="17" xfId="0" applyBorder="1"/>
    <xf numFmtId="0" fontId="0" fillId="0" borderId="30" xfId="0" applyBorder="1"/>
    <xf numFmtId="0" fontId="35" fillId="0" borderId="24" xfId="0" applyFont="1" applyBorder="1"/>
    <xf numFmtId="0" fontId="29" fillId="0" borderId="16" xfId="0" applyFont="1" applyBorder="1" applyAlignment="1">
      <alignment horizontal="left" wrapText="1"/>
    </xf>
    <xf numFmtId="0" fontId="29" fillId="0" borderId="16" xfId="0" applyFont="1" applyFill="1" applyBorder="1" applyAlignment="1">
      <alignment horizontal="left" wrapText="1"/>
    </xf>
    <xf numFmtId="0" fontId="36" fillId="0" borderId="16" xfId="0" applyFont="1" applyFill="1" applyBorder="1" applyAlignment="1">
      <alignment horizontal="center" wrapText="1"/>
    </xf>
    <xf numFmtId="0" fontId="36" fillId="0" borderId="16" xfId="0" applyFont="1" applyFill="1" applyBorder="1"/>
    <xf numFmtId="0" fontId="36" fillId="0" borderId="23" xfId="0" applyFont="1" applyFill="1" applyBorder="1"/>
    <xf numFmtId="0" fontId="36" fillId="0" borderId="31" xfId="0" applyFont="1" applyFill="1" applyBorder="1"/>
    <xf numFmtId="0" fontId="36" fillId="0" borderId="24" xfId="0" applyFont="1" applyBorder="1"/>
    <xf numFmtId="0" fontId="36" fillId="0" borderId="16" xfId="0" applyFont="1" applyBorder="1"/>
    <xf numFmtId="0" fontId="36" fillId="0" borderId="32" xfId="0" applyFont="1" applyBorder="1"/>
    <xf numFmtId="167" fontId="36" fillId="0" borderId="16" xfId="0" applyNumberFormat="1" applyFont="1" applyFill="1" applyBorder="1" applyAlignment="1">
      <alignment horizontal="center" wrapText="1"/>
    </xf>
    <xf numFmtId="2" fontId="36" fillId="0" borderId="23" xfId="0" applyNumberFormat="1" applyFont="1" applyFill="1" applyBorder="1"/>
    <xf numFmtId="2" fontId="36" fillId="0" borderId="31" xfId="0" applyNumberFormat="1" applyFont="1" applyFill="1" applyBorder="1"/>
    <xf numFmtId="2" fontId="36" fillId="0" borderId="16" xfId="0" applyNumberFormat="1" applyFont="1" applyBorder="1"/>
    <xf numFmtId="0" fontId="36" fillId="0" borderId="16" xfId="0" applyFont="1" applyFill="1" applyBorder="1" applyAlignment="1">
      <alignment horizontal="center" vertical="top" wrapText="1"/>
    </xf>
    <xf numFmtId="0" fontId="36" fillId="0" borderId="23" xfId="0" applyFont="1" applyFill="1" applyBorder="1" applyAlignment="1">
      <alignment horizontal="right"/>
    </xf>
    <xf numFmtId="0" fontId="14" fillId="0" borderId="16" xfId="0" applyFont="1" applyBorder="1" applyAlignment="1">
      <alignment horizontal="left" wrapText="1"/>
    </xf>
    <xf numFmtId="0" fontId="14" fillId="0" borderId="16" xfId="0" applyFont="1" applyFill="1" applyBorder="1" applyAlignment="1">
      <alignment horizontal="left" wrapText="1"/>
    </xf>
    <xf numFmtId="0" fontId="34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0" fillId="0" borderId="24" xfId="0" applyFill="1" applyBorder="1"/>
    <xf numFmtId="0" fontId="0" fillId="0" borderId="31" xfId="0" applyFill="1" applyBorder="1"/>
    <xf numFmtId="0" fontId="0" fillId="0" borderId="24" xfId="0" applyBorder="1"/>
    <xf numFmtId="0" fontId="0" fillId="0" borderId="32" xfId="0" applyBorder="1"/>
    <xf numFmtId="0" fontId="34" fillId="0" borderId="16" xfId="0" applyFont="1" applyFill="1" applyBorder="1" applyAlignment="1">
      <alignment horizontal="center" vertical="top" wrapText="1"/>
    </xf>
    <xf numFmtId="0" fontId="30" fillId="0" borderId="33" xfId="0" applyFont="1" applyBorder="1"/>
    <xf numFmtId="0" fontId="14" fillId="0" borderId="34" xfId="0" applyFont="1" applyBorder="1" applyAlignment="1">
      <alignment horizontal="left" wrapText="1"/>
    </xf>
    <xf numFmtId="0" fontId="14" fillId="0" borderId="34" xfId="0" applyFont="1" applyFill="1" applyBorder="1" applyAlignment="1">
      <alignment horizontal="left" wrapText="1"/>
    </xf>
    <xf numFmtId="0" fontId="0" fillId="0" borderId="34" xfId="0" applyFont="1" applyFill="1" applyBorder="1" applyAlignment="1">
      <alignment horizontal="center" wrapText="1"/>
    </xf>
    <xf numFmtId="165" fontId="5" fillId="0" borderId="34" xfId="1" applyNumberFormat="1" applyFont="1" applyFill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34" fillId="0" borderId="34" xfId="0" applyFont="1" applyFill="1" applyBorder="1" applyAlignment="1">
      <alignment horizontal="center" wrapText="1"/>
    </xf>
    <xf numFmtId="0" fontId="32" fillId="0" borderId="34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top" wrapText="1"/>
    </xf>
    <xf numFmtId="2" fontId="5" fillId="0" borderId="34" xfId="1" applyNumberFormat="1" applyFont="1" applyFill="1" applyBorder="1" applyAlignment="1">
      <alignment horizontal="center" vertical="top" wrapText="1"/>
    </xf>
    <xf numFmtId="166" fontId="5" fillId="0" borderId="34" xfId="1" applyNumberFormat="1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textRotation="90" wrapText="1"/>
    </xf>
    <xf numFmtId="166" fontId="5" fillId="0" borderId="34" xfId="1" applyNumberFormat="1" applyFont="1" applyFill="1" applyBorder="1" applyAlignment="1">
      <alignment horizontal="center" textRotation="90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textRotation="90" wrapText="1"/>
    </xf>
    <xf numFmtId="0" fontId="0" fillId="0" borderId="35" xfId="0" applyFont="1" applyFill="1" applyBorder="1" applyAlignment="1">
      <alignment horizontal="center" vertical="top" textRotation="90" wrapText="1"/>
    </xf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25" xfId="0" applyBorder="1"/>
    <xf numFmtId="0" fontId="0" fillId="0" borderId="37" xfId="0" applyBorder="1"/>
    <xf numFmtId="0" fontId="30" fillId="0" borderId="11" xfId="0" applyFont="1" applyBorder="1"/>
    <xf numFmtId="0" fontId="14" fillId="0" borderId="1" xfId="0" applyFont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7" fillId="0" borderId="1" xfId="0" applyFont="1" applyFill="1" applyBorder="1" applyAlignment="1">
      <alignment horizontal="center" wrapText="1"/>
    </xf>
    <xf numFmtId="167" fontId="37" fillId="0" borderId="1" xfId="0" applyNumberFormat="1" applyFont="1" applyFill="1" applyBorder="1" applyAlignment="1">
      <alignment horizontal="center" wrapText="1"/>
    </xf>
    <xf numFmtId="2" fontId="37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166" fontId="8" fillId="0" borderId="1" xfId="1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textRotation="90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38" xfId="0" applyFill="1" applyBorder="1"/>
    <xf numFmtId="0" fontId="0" fillId="0" borderId="39" xfId="0" applyFill="1" applyBorder="1"/>
    <xf numFmtId="0" fontId="0" fillId="0" borderId="40" xfId="0" applyFill="1" applyBorder="1"/>
    <xf numFmtId="0" fontId="0" fillId="0" borderId="41" xfId="0" applyFill="1" applyBorder="1"/>
    <xf numFmtId="0" fontId="27" fillId="0" borderId="3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center" wrapText="1"/>
    </xf>
    <xf numFmtId="166" fontId="14" fillId="0" borderId="2" xfId="1" applyNumberFormat="1" applyFont="1" applyFill="1" applyBorder="1" applyAlignment="1">
      <alignment horizontal="center" wrapText="1"/>
    </xf>
    <xf numFmtId="166" fontId="14" fillId="0" borderId="14" xfId="1" applyNumberFormat="1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wrapText="1"/>
    </xf>
    <xf numFmtId="0" fontId="22" fillId="0" borderId="5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19" fillId="0" borderId="4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166" fontId="14" fillId="0" borderId="9" xfId="1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166" fontId="14" fillId="0" borderId="2" xfId="1" applyNumberFormat="1" applyFont="1" applyFill="1" applyBorder="1" applyAlignment="1">
      <alignment horizontal="center" vertical="top" wrapText="1"/>
    </xf>
    <xf numFmtId="166" fontId="14" fillId="0" borderId="9" xfId="1" applyNumberFormat="1" applyFont="1" applyFill="1" applyBorder="1" applyAlignment="1">
      <alignment horizontal="center" vertical="top" wrapText="1"/>
    </xf>
    <xf numFmtId="166" fontId="14" fillId="0" borderId="14" xfId="1" applyNumberFormat="1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66" fontId="14" fillId="0" borderId="3" xfId="1" applyNumberFormat="1" applyFont="1" applyFill="1" applyBorder="1" applyAlignment="1">
      <alignment horizontal="center" wrapText="1"/>
    </xf>
    <xf numFmtId="166" fontId="14" fillId="0" borderId="4" xfId="1" applyNumberFormat="1" applyFont="1" applyFill="1" applyBorder="1" applyAlignment="1">
      <alignment horizontal="center" wrapText="1"/>
    </xf>
    <xf numFmtId="166" fontId="14" fillId="0" borderId="5" xfId="1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0;&#1085;&#1074;&#1077;&#1085;&#1090;&#1072;&#1088;&#1080;&#1079;&#1072;&#1094;&#1080;&#1103;%202%20&#1082;&#1074;&#1072;&#1088;&#1090;%202021%20(version%20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Анк. 1"/>
      <sheetName val="Анк.3"/>
      <sheetName val="Анк. 3Б"/>
      <sheetName val="Анк. 5"/>
      <sheetName val="Анк. 5А"/>
      <sheetName val="Анк.7"/>
      <sheetName val="Анк.9"/>
      <sheetName val="Анк.11"/>
      <sheetName val="Анк.11А"/>
      <sheetName val="Анк.13"/>
      <sheetName val="Анк.17"/>
      <sheetName val="Анк.17А"/>
      <sheetName val="Горьк.11б"/>
      <sheetName val="Горьк.12"/>
      <sheetName val="Горьк.14"/>
      <sheetName val="Горьк.14а"/>
      <sheetName val="Горьк.16"/>
      <sheetName val="Горьк.18"/>
      <sheetName val="Горьк 18-А "/>
      <sheetName val="Горьк 20-а"/>
      <sheetName val="Горьк.20"/>
      <sheetName val="Горьк.22"/>
      <sheetName val="Дзержинского 12"/>
      <sheetName val="Дзержинского 12а"/>
      <sheetName val="Ком.165"/>
      <sheetName val="Ком.167"/>
      <sheetName val="Ком.167А"/>
      <sheetName val="Ком.169"/>
      <sheetName val="Ком.191"/>
      <sheetName val="Ком.193"/>
      <sheetName val="Ком.195"/>
      <sheetName val="Поп.14"/>
      <sheetName val="Поп.18А"/>
      <sheetName val="Поп.20А"/>
      <sheetName val="Поп. 21"/>
      <sheetName val="Поп.22А"/>
      <sheetName val="Поп.24А"/>
      <sheetName val="Поп.25"/>
      <sheetName val="Поп.43"/>
      <sheetName val="Поп.43А"/>
      <sheetName val="Поп.45"/>
      <sheetName val="Поп.45А"/>
      <sheetName val="Поп.47"/>
      <sheetName val="Мира 157"/>
      <sheetName val="Мира 161"/>
      <sheetName val="Мира 161-А"/>
      <sheetName val="Мира 163"/>
      <sheetName val="Мира 163А"/>
      <sheetName val="Победы 4"/>
      <sheetName val="Победы 6Б"/>
      <sheetName val="Победы 6"/>
      <sheetName val="Победы 6-А"/>
      <sheetName val="Победы 8"/>
      <sheetName val="Победы 10"/>
      <sheetName val="Победы 10Б"/>
      <sheetName val="Победы 12"/>
      <sheetName val="Победы 12А"/>
      <sheetName val="Победы 14"/>
      <sheetName val="Победы 16"/>
      <sheetName val="победы 18"/>
      <sheetName val="Победы 26"/>
      <sheetName val="Победы 48"/>
      <sheetName val="Победы 50"/>
      <sheetName val="Озерная 2а-Б"/>
      <sheetName val="Озерная 2а-В"/>
      <sheetName val="Озерная 2б"/>
      <sheetName val="Фабричная 14А"/>
      <sheetName val="Физк.120"/>
      <sheetName val="Физк.124"/>
      <sheetName val="Физк.124А"/>
      <sheetName val="Физк.126"/>
      <sheetName val="Физк.126А"/>
      <sheetName val="Физк.126Б"/>
      <sheetName val="Физк.122"/>
      <sheetName val="Физк.128"/>
      <sheetName val="Физк.130"/>
      <sheetName val="Тихоокеанская 27 "/>
      <sheetName val="Невельского 4 "/>
      <sheetName val="Невельская 14 корпус 2"/>
      <sheetName val="Невельская 14 корпус 1"/>
      <sheetName val="Сахалинская 13"/>
      <sheetName val="Емельянова 43"/>
      <sheetName val="сверка   ВИЦ на 31.12.2020г"/>
    </sheetNames>
    <sheetDataSet>
      <sheetData sheetId="0"/>
      <sheetData sheetId="1">
        <row r="62">
          <cell r="H62">
            <v>111</v>
          </cell>
        </row>
      </sheetData>
      <sheetData sheetId="2">
        <row r="83">
          <cell r="H83">
            <v>129</v>
          </cell>
          <cell r="I83">
            <v>1</v>
          </cell>
        </row>
      </sheetData>
      <sheetData sheetId="3">
        <row r="34">
          <cell r="H34">
            <v>47</v>
          </cell>
          <cell r="I34">
            <v>0</v>
          </cell>
        </row>
        <row r="37">
          <cell r="E37">
            <v>1437.6000000000001</v>
          </cell>
          <cell r="F37">
            <v>786.7</v>
          </cell>
        </row>
        <row r="38">
          <cell r="E38">
            <v>0</v>
          </cell>
          <cell r="F38">
            <v>0</v>
          </cell>
        </row>
      </sheetData>
      <sheetData sheetId="4">
        <row r="62">
          <cell r="H62">
            <v>131</v>
          </cell>
          <cell r="I62">
            <v>0</v>
          </cell>
        </row>
        <row r="65">
          <cell r="F65">
            <v>1403.2</v>
          </cell>
        </row>
        <row r="66">
          <cell r="E66">
            <v>544.80000000000007</v>
          </cell>
          <cell r="F66">
            <v>367.7</v>
          </cell>
        </row>
      </sheetData>
      <sheetData sheetId="5">
        <row r="64">
          <cell r="H64">
            <v>104</v>
          </cell>
          <cell r="I64">
            <v>0</v>
          </cell>
        </row>
        <row r="67">
          <cell r="E67">
            <v>2395.4999999999995</v>
          </cell>
          <cell r="F67">
            <v>1611.6000000000004</v>
          </cell>
        </row>
        <row r="68">
          <cell r="E68">
            <v>299.40000000000003</v>
          </cell>
          <cell r="F68">
            <v>203.10000000000002</v>
          </cell>
        </row>
      </sheetData>
      <sheetData sheetId="6">
        <row r="66">
          <cell r="H66">
            <v>127</v>
          </cell>
          <cell r="I66">
            <v>0</v>
          </cell>
        </row>
      </sheetData>
      <sheetData sheetId="7">
        <row r="65">
          <cell r="H65">
            <v>114</v>
          </cell>
          <cell r="I65">
            <v>0</v>
          </cell>
        </row>
        <row r="68">
          <cell r="F68">
            <v>1763</v>
          </cell>
        </row>
        <row r="69">
          <cell r="E69">
            <v>121.1</v>
          </cell>
          <cell r="F69">
            <v>89.5</v>
          </cell>
        </row>
      </sheetData>
      <sheetData sheetId="8">
        <row r="65">
          <cell r="H65">
            <v>118</v>
          </cell>
          <cell r="I65">
            <v>1</v>
          </cell>
        </row>
        <row r="68">
          <cell r="E68">
            <v>2538.2000000000007</v>
          </cell>
          <cell r="F68">
            <v>1781.3</v>
          </cell>
        </row>
        <row r="69">
          <cell r="E69">
            <v>151.69999999999999</v>
          </cell>
          <cell r="F69">
            <v>106.4</v>
          </cell>
        </row>
      </sheetData>
      <sheetData sheetId="9">
        <row r="65">
          <cell r="H65">
            <v>93</v>
          </cell>
          <cell r="I65">
            <v>2</v>
          </cell>
        </row>
        <row r="68">
          <cell r="E68">
            <v>2531.0999999999995</v>
          </cell>
          <cell r="F68">
            <v>1702.6000000000001</v>
          </cell>
        </row>
        <row r="69">
          <cell r="E69">
            <v>180.3</v>
          </cell>
          <cell r="F69">
            <v>119.69999999999999</v>
          </cell>
        </row>
      </sheetData>
      <sheetData sheetId="10">
        <row r="66">
          <cell r="H66">
            <v>134</v>
          </cell>
          <cell r="I66">
            <v>0</v>
          </cell>
        </row>
        <row r="69">
          <cell r="F69">
            <v>1669.6999999999994</v>
          </cell>
        </row>
        <row r="70">
          <cell r="E70">
            <v>197.29999999999998</v>
          </cell>
          <cell r="F70">
            <v>139.5</v>
          </cell>
        </row>
      </sheetData>
      <sheetData sheetId="11">
        <row r="117">
          <cell r="H117">
            <v>232</v>
          </cell>
          <cell r="I117">
            <v>3</v>
          </cell>
        </row>
        <row r="120">
          <cell r="E120">
            <v>4713.5</v>
          </cell>
          <cell r="F120">
            <v>3249.3000000000006</v>
          </cell>
        </row>
        <row r="121">
          <cell r="E121">
            <v>521.19999999999993</v>
          </cell>
          <cell r="F121">
            <v>356.2</v>
          </cell>
        </row>
      </sheetData>
      <sheetData sheetId="12">
        <row r="65">
          <cell r="H65">
            <v>122</v>
          </cell>
        </row>
      </sheetData>
      <sheetData sheetId="13"/>
      <sheetData sheetId="14">
        <row r="95">
          <cell r="H95">
            <v>202</v>
          </cell>
          <cell r="I95">
            <v>2</v>
          </cell>
        </row>
        <row r="98">
          <cell r="F98">
            <v>2907.3000000000011</v>
          </cell>
        </row>
        <row r="99">
          <cell r="E99">
            <v>149.30000000000001</v>
          </cell>
          <cell r="F99">
            <v>105.1</v>
          </cell>
        </row>
      </sheetData>
      <sheetData sheetId="15">
        <row r="98">
          <cell r="H98">
            <v>192</v>
          </cell>
          <cell r="I98">
            <v>2</v>
          </cell>
        </row>
        <row r="101">
          <cell r="F101">
            <v>2744.3000000000006</v>
          </cell>
        </row>
        <row r="102">
          <cell r="E102">
            <v>343.6</v>
          </cell>
          <cell r="F102">
            <v>238.20000000000002</v>
          </cell>
        </row>
      </sheetData>
      <sheetData sheetId="16">
        <row r="63">
          <cell r="H63">
            <v>130</v>
          </cell>
          <cell r="I63">
            <v>2</v>
          </cell>
        </row>
        <row r="66">
          <cell r="E66">
            <v>2945.5000000000005</v>
          </cell>
          <cell r="F66">
            <v>1742.6999999999998</v>
          </cell>
        </row>
        <row r="67">
          <cell r="E67">
            <v>112.3</v>
          </cell>
          <cell r="F67">
            <v>67.3</v>
          </cell>
        </row>
      </sheetData>
      <sheetData sheetId="17">
        <row r="65">
          <cell r="H65">
            <v>99</v>
          </cell>
          <cell r="I65">
            <v>0</v>
          </cell>
        </row>
      </sheetData>
      <sheetData sheetId="18">
        <row r="101">
          <cell r="H101">
            <v>219</v>
          </cell>
          <cell r="I101">
            <v>3</v>
          </cell>
        </row>
      </sheetData>
      <sheetData sheetId="19">
        <row r="63">
          <cell r="H63">
            <v>100</v>
          </cell>
          <cell r="I63">
            <v>2</v>
          </cell>
        </row>
        <row r="66">
          <cell r="F66">
            <v>2243.2000000000007</v>
          </cell>
        </row>
        <row r="67">
          <cell r="E67">
            <v>0</v>
          </cell>
          <cell r="F67">
            <v>0</v>
          </cell>
        </row>
      </sheetData>
      <sheetData sheetId="20">
        <row r="4">
          <cell r="E4">
            <v>70.099999999999994</v>
          </cell>
        </row>
        <row r="5">
          <cell r="E5">
            <v>57</v>
          </cell>
        </row>
        <row r="6">
          <cell r="E6">
            <v>66.400000000000006</v>
          </cell>
        </row>
        <row r="7">
          <cell r="E7">
            <v>66.400000000000006</v>
          </cell>
        </row>
        <row r="8">
          <cell r="E8">
            <v>39.700000000000003</v>
          </cell>
        </row>
        <row r="9">
          <cell r="E9">
            <v>33.299999999999997</v>
          </cell>
        </row>
        <row r="58">
          <cell r="E58">
            <v>39.700000000000003</v>
          </cell>
        </row>
        <row r="59">
          <cell r="E59">
            <v>66.400000000000006</v>
          </cell>
        </row>
        <row r="60">
          <cell r="E60">
            <v>66.400000000000006</v>
          </cell>
        </row>
        <row r="61">
          <cell r="E61">
            <v>57</v>
          </cell>
        </row>
        <row r="62">
          <cell r="E62">
            <v>70.099999999999994</v>
          </cell>
        </row>
        <row r="111">
          <cell r="H111">
            <v>225</v>
          </cell>
          <cell r="I111">
            <v>0</v>
          </cell>
        </row>
      </sheetData>
      <sheetData sheetId="21">
        <row r="95">
          <cell r="H95">
            <v>199</v>
          </cell>
          <cell r="I95">
            <v>2</v>
          </cell>
        </row>
        <row r="98">
          <cell r="E98">
            <v>4017.599999999999</v>
          </cell>
          <cell r="F98">
            <v>2804.6</v>
          </cell>
        </row>
        <row r="99">
          <cell r="E99">
            <v>345.70000000000005</v>
          </cell>
          <cell r="F99">
            <v>240.7</v>
          </cell>
        </row>
      </sheetData>
      <sheetData sheetId="22">
        <row r="67">
          <cell r="H67">
            <v>129</v>
          </cell>
          <cell r="I67">
            <v>1</v>
          </cell>
        </row>
      </sheetData>
      <sheetData sheetId="23">
        <row r="65">
          <cell r="H65">
            <v>0</v>
          </cell>
          <cell r="J65">
            <v>130</v>
          </cell>
        </row>
        <row r="68">
          <cell r="E68">
            <v>3085.5000000000005</v>
          </cell>
          <cell r="F68">
            <v>1781.3000000000009</v>
          </cell>
        </row>
        <row r="69">
          <cell r="E69">
            <v>226.7</v>
          </cell>
          <cell r="F69">
            <v>132</v>
          </cell>
        </row>
      </sheetData>
      <sheetData sheetId="24">
        <row r="64">
          <cell r="H64">
            <v>121</v>
          </cell>
        </row>
        <row r="67">
          <cell r="E67">
            <v>3343.6</v>
          </cell>
          <cell r="F67">
            <v>1953.1000000000006</v>
          </cell>
        </row>
        <row r="68">
          <cell r="E68">
            <v>52.7</v>
          </cell>
          <cell r="F68">
            <v>30.7</v>
          </cell>
        </row>
      </sheetData>
      <sheetData sheetId="25">
        <row r="159">
          <cell r="H159">
            <v>312</v>
          </cell>
          <cell r="I159">
            <v>1</v>
          </cell>
        </row>
        <row r="162">
          <cell r="E162">
            <v>6350.6</v>
          </cell>
          <cell r="F162">
            <v>4279.4999999999982</v>
          </cell>
        </row>
        <row r="163">
          <cell r="E163">
            <v>443.79999999999995</v>
          </cell>
          <cell r="F163">
            <v>293.7</v>
          </cell>
        </row>
      </sheetData>
      <sheetData sheetId="26">
        <row r="57">
          <cell r="H57">
            <v>87</v>
          </cell>
          <cell r="I57">
            <v>0</v>
          </cell>
        </row>
        <row r="60">
          <cell r="E60">
            <v>2031.8</v>
          </cell>
          <cell r="F60">
            <v>1362.5000000000005</v>
          </cell>
        </row>
        <row r="61">
          <cell r="E61">
            <v>136.30000000000001</v>
          </cell>
          <cell r="F61">
            <v>87.9</v>
          </cell>
        </row>
      </sheetData>
      <sheetData sheetId="27">
        <row r="128">
          <cell r="H128">
            <v>235</v>
          </cell>
          <cell r="I128">
            <v>2</v>
          </cell>
        </row>
      </sheetData>
      <sheetData sheetId="28">
        <row r="45">
          <cell r="H45">
            <v>71</v>
          </cell>
          <cell r="I45">
            <v>0</v>
          </cell>
        </row>
      </sheetData>
      <sheetData sheetId="29">
        <row r="94">
          <cell r="H94">
            <v>179</v>
          </cell>
          <cell r="I94">
            <v>0</v>
          </cell>
        </row>
      </sheetData>
      <sheetData sheetId="30">
        <row r="67">
          <cell r="H67">
            <v>126</v>
          </cell>
          <cell r="I67">
            <v>0</v>
          </cell>
        </row>
        <row r="70">
          <cell r="F70">
            <v>1760.5700000000004</v>
          </cell>
        </row>
        <row r="71">
          <cell r="E71">
            <v>44</v>
          </cell>
          <cell r="F71">
            <v>29.6</v>
          </cell>
        </row>
      </sheetData>
      <sheetData sheetId="31">
        <row r="48">
          <cell r="H48">
            <v>91</v>
          </cell>
          <cell r="I48">
            <v>0</v>
          </cell>
        </row>
        <row r="51">
          <cell r="E51">
            <v>1852.9999999999995</v>
          </cell>
          <cell r="F51">
            <v>1120.0999999999997</v>
          </cell>
        </row>
        <row r="52">
          <cell r="E52">
            <v>218.9</v>
          </cell>
          <cell r="F52">
            <v>136.1</v>
          </cell>
        </row>
      </sheetData>
      <sheetData sheetId="32">
        <row r="65">
          <cell r="H65">
            <v>115</v>
          </cell>
          <cell r="I65">
            <v>2</v>
          </cell>
        </row>
        <row r="68">
          <cell r="E68">
            <v>2644.099999999999</v>
          </cell>
          <cell r="F68">
            <v>1785.6000000000004</v>
          </cell>
        </row>
        <row r="69">
          <cell r="E69">
            <v>47.3</v>
          </cell>
          <cell r="F69">
            <v>32.4</v>
          </cell>
        </row>
      </sheetData>
      <sheetData sheetId="33">
        <row r="65">
          <cell r="H65">
            <v>111</v>
          </cell>
          <cell r="I65">
            <v>1</v>
          </cell>
        </row>
        <row r="68">
          <cell r="E68">
            <v>2585.1000000000008</v>
          </cell>
          <cell r="F68">
            <v>1738.1999999999996</v>
          </cell>
        </row>
        <row r="69">
          <cell r="E69">
            <v>104.30000000000001</v>
          </cell>
          <cell r="F69">
            <v>74.400000000000006</v>
          </cell>
        </row>
      </sheetData>
      <sheetData sheetId="34">
        <row r="37">
          <cell r="H37">
            <v>37</v>
          </cell>
          <cell r="I37">
            <v>0</v>
          </cell>
        </row>
        <row r="40">
          <cell r="E40">
            <v>1431.4000000000003</v>
          </cell>
          <cell r="F40">
            <v>867.59999999999991</v>
          </cell>
        </row>
        <row r="41">
          <cell r="E41">
            <v>0</v>
          </cell>
          <cell r="F41">
            <v>0</v>
          </cell>
        </row>
      </sheetData>
      <sheetData sheetId="35">
        <row r="55">
          <cell r="H55">
            <v>99</v>
          </cell>
        </row>
        <row r="56">
          <cell r="E56">
            <v>2621.2999999999993</v>
          </cell>
        </row>
      </sheetData>
      <sheetData sheetId="36">
        <row r="65">
          <cell r="H65">
            <v>127</v>
          </cell>
          <cell r="I65">
            <v>1</v>
          </cell>
        </row>
        <row r="68">
          <cell r="E68">
            <v>2436.1</v>
          </cell>
          <cell r="F68">
            <v>1638.1999999999989</v>
          </cell>
        </row>
        <row r="69">
          <cell r="E69">
            <v>180.4</v>
          </cell>
          <cell r="F69">
            <v>121.19999999999999</v>
          </cell>
        </row>
      </sheetData>
      <sheetData sheetId="37">
        <row r="64">
          <cell r="H64">
            <v>134</v>
          </cell>
          <cell r="I64">
            <v>0</v>
          </cell>
        </row>
        <row r="67">
          <cell r="E67">
            <v>2584</v>
          </cell>
          <cell r="F67">
            <v>1742.0000000000002</v>
          </cell>
        </row>
        <row r="68">
          <cell r="E68">
            <v>103.5</v>
          </cell>
          <cell r="F68">
            <v>63.9</v>
          </cell>
        </row>
      </sheetData>
      <sheetData sheetId="38">
        <row r="120">
          <cell r="H120">
            <v>223</v>
          </cell>
        </row>
      </sheetData>
      <sheetData sheetId="39">
        <row r="37">
          <cell r="H37">
            <v>56</v>
          </cell>
        </row>
        <row r="41">
          <cell r="E41">
            <v>27.8</v>
          </cell>
          <cell r="F41">
            <v>16</v>
          </cell>
        </row>
      </sheetData>
      <sheetData sheetId="40">
        <row r="51">
          <cell r="H51">
            <v>97</v>
          </cell>
          <cell r="I51">
            <v>0</v>
          </cell>
        </row>
      </sheetData>
      <sheetData sheetId="41">
        <row r="54">
          <cell r="H54">
            <v>86</v>
          </cell>
          <cell r="I54">
            <v>1</v>
          </cell>
        </row>
        <row r="57">
          <cell r="E57">
            <v>1857.8</v>
          </cell>
          <cell r="F57">
            <v>1214.7999999999997</v>
          </cell>
        </row>
        <row r="58">
          <cell r="E58">
            <v>41.5</v>
          </cell>
          <cell r="F58">
            <v>24.799999999999997</v>
          </cell>
        </row>
      </sheetData>
      <sheetData sheetId="42">
        <row r="53">
          <cell r="H53">
            <v>89</v>
          </cell>
          <cell r="I53">
            <v>0</v>
          </cell>
        </row>
        <row r="56">
          <cell r="E56">
            <v>1915.3</v>
          </cell>
          <cell r="F56">
            <v>1228.2</v>
          </cell>
        </row>
        <row r="57">
          <cell r="E57">
            <v>86.4</v>
          </cell>
          <cell r="F57">
            <v>56.2</v>
          </cell>
        </row>
      </sheetData>
      <sheetData sheetId="43">
        <row r="40">
          <cell r="H40">
            <v>74</v>
          </cell>
          <cell r="I40">
            <v>0</v>
          </cell>
        </row>
        <row r="43">
          <cell r="F43">
            <v>812.19999999999993</v>
          </cell>
        </row>
        <row r="44">
          <cell r="E44">
            <v>92.5</v>
          </cell>
          <cell r="F44">
            <v>53.9</v>
          </cell>
        </row>
      </sheetData>
      <sheetData sheetId="44">
        <row r="101">
          <cell r="H101">
            <v>184</v>
          </cell>
          <cell r="I101">
            <v>0</v>
          </cell>
        </row>
        <row r="104">
          <cell r="E104">
            <v>3258.2999999999997</v>
          </cell>
          <cell r="F104">
            <v>2095.7999999999997</v>
          </cell>
        </row>
        <row r="105">
          <cell r="E105">
            <v>623.29999999999995</v>
          </cell>
          <cell r="F105">
            <v>411.30000000000007</v>
          </cell>
        </row>
      </sheetData>
      <sheetData sheetId="45">
        <row r="84">
          <cell r="H84">
            <v>127</v>
          </cell>
          <cell r="I84">
            <v>0</v>
          </cell>
        </row>
        <row r="87">
          <cell r="E87">
            <v>2698.7</v>
          </cell>
          <cell r="F87">
            <v>1710.1</v>
          </cell>
        </row>
        <row r="88">
          <cell r="E88">
            <v>285.2</v>
          </cell>
          <cell r="F88">
            <v>179.79999999999998</v>
          </cell>
        </row>
      </sheetData>
      <sheetData sheetId="46">
        <row r="95">
          <cell r="E95">
            <v>966.19999999999993</v>
          </cell>
          <cell r="F95">
            <v>956.09999999999991</v>
          </cell>
        </row>
        <row r="96">
          <cell r="E96">
            <v>427.7</v>
          </cell>
          <cell r="F96">
            <v>408.80000000000007</v>
          </cell>
        </row>
      </sheetData>
      <sheetData sheetId="47">
        <row r="85">
          <cell r="H85">
            <v>149</v>
          </cell>
          <cell r="I85">
            <v>4</v>
          </cell>
        </row>
        <row r="88">
          <cell r="E88">
            <v>2899.3999999999996</v>
          </cell>
          <cell r="F88">
            <v>1837.8999999999994</v>
          </cell>
        </row>
        <row r="89">
          <cell r="E89">
            <v>202.5</v>
          </cell>
          <cell r="F89">
            <v>130.19999999999999</v>
          </cell>
        </row>
      </sheetData>
      <sheetData sheetId="48">
        <row r="49">
          <cell r="H49">
            <v>95</v>
          </cell>
          <cell r="I49">
            <v>0</v>
          </cell>
        </row>
        <row r="52">
          <cell r="E52">
            <v>2045.1000000000004</v>
          </cell>
          <cell r="F52">
            <v>1194.4000000000008</v>
          </cell>
        </row>
        <row r="53">
          <cell r="E53">
            <v>131</v>
          </cell>
          <cell r="F53">
            <v>81.699999999999989</v>
          </cell>
        </row>
      </sheetData>
      <sheetData sheetId="49">
        <row r="97">
          <cell r="H97">
            <v>201</v>
          </cell>
          <cell r="I97">
            <v>2</v>
          </cell>
        </row>
        <row r="101">
          <cell r="E101">
            <v>333.20000000000005</v>
          </cell>
          <cell r="F101">
            <v>220.00000000000003</v>
          </cell>
        </row>
      </sheetData>
      <sheetData sheetId="50">
        <row r="37">
          <cell r="H37">
            <v>66</v>
          </cell>
        </row>
        <row r="39">
          <cell r="E39">
            <v>0</v>
          </cell>
          <cell r="F39">
            <v>0</v>
          </cell>
        </row>
        <row r="40">
          <cell r="E40">
            <v>1979.4000000000003</v>
          </cell>
          <cell r="F40">
            <v>1218.4000000000001</v>
          </cell>
        </row>
      </sheetData>
      <sheetData sheetId="51">
        <row r="65">
          <cell r="H65">
            <v>118</v>
          </cell>
          <cell r="I65">
            <v>1</v>
          </cell>
        </row>
      </sheetData>
      <sheetData sheetId="52">
        <row r="34">
          <cell r="H34">
            <v>57</v>
          </cell>
          <cell r="I34">
            <v>1</v>
          </cell>
        </row>
        <row r="37">
          <cell r="E37">
            <v>2136</v>
          </cell>
          <cell r="F37">
            <v>1009.5000000000001</v>
          </cell>
        </row>
        <row r="38">
          <cell r="E38">
            <v>0</v>
          </cell>
          <cell r="F38">
            <v>0</v>
          </cell>
        </row>
        <row r="66">
          <cell r="H66">
            <v>53</v>
          </cell>
          <cell r="I66">
            <v>0</v>
          </cell>
        </row>
        <row r="69">
          <cell r="E69">
            <v>1587.5</v>
          </cell>
          <cell r="F69">
            <v>949.2</v>
          </cell>
        </row>
        <row r="70">
          <cell r="E70">
            <v>0</v>
          </cell>
          <cell r="F70">
            <v>0</v>
          </cell>
        </row>
      </sheetData>
      <sheetData sheetId="53">
        <row r="65">
          <cell r="H65">
            <v>115</v>
          </cell>
        </row>
      </sheetData>
      <sheetData sheetId="54">
        <row r="65">
          <cell r="H65">
            <v>121</v>
          </cell>
          <cell r="I65">
            <v>0</v>
          </cell>
        </row>
      </sheetData>
      <sheetData sheetId="55">
        <row r="10">
          <cell r="H10">
            <v>15</v>
          </cell>
        </row>
        <row r="11">
          <cell r="E11">
            <v>768.99999999999989</v>
          </cell>
          <cell r="F11">
            <v>505.3</v>
          </cell>
        </row>
        <row r="12">
          <cell r="E12">
            <v>0</v>
          </cell>
        </row>
        <row r="14">
          <cell r="E14">
            <v>0</v>
          </cell>
          <cell r="F14">
            <v>0</v>
          </cell>
        </row>
        <row r="32">
          <cell r="H32">
            <v>15</v>
          </cell>
        </row>
        <row r="33">
          <cell r="E33">
            <v>1610.6000000000001</v>
          </cell>
          <cell r="F33">
            <v>991.6</v>
          </cell>
        </row>
        <row r="34">
          <cell r="E34">
            <v>1543.7</v>
          </cell>
        </row>
        <row r="36">
          <cell r="E36">
            <v>0</v>
          </cell>
          <cell r="F36">
            <v>0</v>
          </cell>
        </row>
        <row r="50">
          <cell r="H50">
            <v>19</v>
          </cell>
        </row>
        <row r="51">
          <cell r="E51">
            <v>990</v>
          </cell>
          <cell r="F51">
            <v>605</v>
          </cell>
        </row>
        <row r="52">
          <cell r="E52">
            <v>168</v>
          </cell>
        </row>
        <row r="54">
          <cell r="E54">
            <v>0</v>
          </cell>
          <cell r="F54">
            <v>0</v>
          </cell>
        </row>
      </sheetData>
      <sheetData sheetId="56">
        <row r="65">
          <cell r="H65">
            <v>130</v>
          </cell>
          <cell r="I65">
            <v>3</v>
          </cell>
        </row>
        <row r="68">
          <cell r="E68">
            <v>2357.1000000000004</v>
          </cell>
          <cell r="F68">
            <v>1588.3</v>
          </cell>
        </row>
        <row r="69">
          <cell r="E69">
            <v>348.09999999999997</v>
          </cell>
          <cell r="F69">
            <v>231.80000000000004</v>
          </cell>
        </row>
      </sheetData>
      <sheetData sheetId="57">
        <row r="65">
          <cell r="H65">
            <v>91</v>
          </cell>
          <cell r="I65">
            <v>0</v>
          </cell>
        </row>
        <row r="68">
          <cell r="E68">
            <v>1694.2999999999995</v>
          </cell>
          <cell r="F68">
            <v>947.70000000000016</v>
          </cell>
        </row>
        <row r="69">
          <cell r="E69">
            <v>101.69999999999999</v>
          </cell>
          <cell r="F69">
            <v>54.4</v>
          </cell>
        </row>
      </sheetData>
      <sheetData sheetId="58">
        <row r="65">
          <cell r="H65">
            <v>97</v>
          </cell>
          <cell r="I65">
            <v>0</v>
          </cell>
        </row>
        <row r="68">
          <cell r="E68">
            <v>2614.0000000000005</v>
          </cell>
          <cell r="F68">
            <v>1751.6000000000001</v>
          </cell>
        </row>
        <row r="69">
          <cell r="E69">
            <v>91</v>
          </cell>
          <cell r="F69">
            <v>61.900000000000006</v>
          </cell>
        </row>
      </sheetData>
      <sheetData sheetId="59">
        <row r="66">
          <cell r="H66">
            <v>102</v>
          </cell>
          <cell r="I66">
            <v>1</v>
          </cell>
        </row>
        <row r="69">
          <cell r="E69">
            <v>2536.7999999999993</v>
          </cell>
          <cell r="F69">
            <v>1692.5</v>
          </cell>
        </row>
        <row r="70">
          <cell r="E70">
            <v>108.80000000000001</v>
          </cell>
          <cell r="F70">
            <v>77.099999999999994</v>
          </cell>
        </row>
      </sheetData>
      <sheetData sheetId="60">
        <row r="95">
          <cell r="H95">
            <v>177</v>
          </cell>
          <cell r="I95">
            <v>1</v>
          </cell>
        </row>
      </sheetData>
      <sheetData sheetId="61">
        <row r="98">
          <cell r="H98">
            <v>210</v>
          </cell>
          <cell r="I98">
            <v>2</v>
          </cell>
        </row>
        <row r="101">
          <cell r="E101">
            <v>4095.9999999999995</v>
          </cell>
          <cell r="F101">
            <v>2808.3999999999996</v>
          </cell>
        </row>
        <row r="102">
          <cell r="E102">
            <v>283.5</v>
          </cell>
          <cell r="F102">
            <v>189.6</v>
          </cell>
        </row>
      </sheetData>
      <sheetData sheetId="62">
        <row r="28">
          <cell r="H28">
            <v>43</v>
          </cell>
        </row>
        <row r="31">
          <cell r="E31">
            <v>831.80000000000007</v>
          </cell>
          <cell r="F31">
            <v>528.19999999999993</v>
          </cell>
        </row>
        <row r="32">
          <cell r="E32">
            <v>171.1</v>
          </cell>
          <cell r="F32">
            <v>110</v>
          </cell>
        </row>
      </sheetData>
      <sheetData sheetId="63">
        <row r="23">
          <cell r="H23">
            <v>40</v>
          </cell>
          <cell r="I23">
            <v>0</v>
          </cell>
        </row>
        <row r="26">
          <cell r="E26">
            <v>663</v>
          </cell>
          <cell r="F26">
            <v>422.6</v>
          </cell>
        </row>
        <row r="27">
          <cell r="E27">
            <v>331.1</v>
          </cell>
          <cell r="F27">
            <v>212.39999999999998</v>
          </cell>
        </row>
      </sheetData>
      <sheetData sheetId="64">
        <row r="42">
          <cell r="E42">
            <v>2080.9999999999995</v>
          </cell>
          <cell r="H42">
            <v>58</v>
          </cell>
          <cell r="I42">
            <v>2</v>
          </cell>
        </row>
        <row r="43">
          <cell r="F43">
            <v>968.99999999999955</v>
          </cell>
        </row>
      </sheetData>
      <sheetData sheetId="65">
        <row r="41">
          <cell r="E41">
            <v>1855.9000000000005</v>
          </cell>
          <cell r="H41">
            <v>67</v>
          </cell>
          <cell r="I41">
            <v>0</v>
          </cell>
        </row>
        <row r="42">
          <cell r="F42">
            <v>1058.1000000000001</v>
          </cell>
        </row>
      </sheetData>
      <sheetData sheetId="66">
        <row r="41">
          <cell r="G41">
            <v>27</v>
          </cell>
          <cell r="H41">
            <v>0</v>
          </cell>
          <cell r="I41">
            <v>72</v>
          </cell>
        </row>
        <row r="42">
          <cell r="E42">
            <v>1933.1000000000004</v>
          </cell>
          <cell r="F42">
            <v>1097.5000000000002</v>
          </cell>
        </row>
        <row r="45">
          <cell r="E45">
            <v>0</v>
          </cell>
        </row>
      </sheetData>
      <sheetData sheetId="67">
        <row r="41">
          <cell r="H41">
            <v>37</v>
          </cell>
          <cell r="I41">
            <v>2</v>
          </cell>
        </row>
        <row r="44">
          <cell r="E44">
            <v>2776.8</v>
          </cell>
          <cell r="F44">
            <v>1441.6999999999994</v>
          </cell>
        </row>
        <row r="45">
          <cell r="E45">
            <v>0</v>
          </cell>
          <cell r="F45">
            <v>0</v>
          </cell>
        </row>
      </sheetData>
      <sheetData sheetId="68">
        <row r="37">
          <cell r="H37">
            <v>59</v>
          </cell>
          <cell r="I37">
            <v>3</v>
          </cell>
        </row>
        <row r="40">
          <cell r="E40">
            <v>1176.0999999999999</v>
          </cell>
          <cell r="F40">
            <v>754.9</v>
          </cell>
        </row>
        <row r="41">
          <cell r="E41">
            <v>83.9</v>
          </cell>
          <cell r="F41">
            <v>54.3</v>
          </cell>
        </row>
      </sheetData>
      <sheetData sheetId="69">
        <row r="37">
          <cell r="H37">
            <v>59</v>
          </cell>
          <cell r="I37">
            <v>1</v>
          </cell>
        </row>
      </sheetData>
      <sheetData sheetId="70">
        <row r="23">
          <cell r="H23">
            <v>49</v>
          </cell>
          <cell r="I23">
            <v>1</v>
          </cell>
        </row>
        <row r="26">
          <cell r="E26">
            <v>696.9</v>
          </cell>
          <cell r="F26">
            <v>446</v>
          </cell>
        </row>
        <row r="27">
          <cell r="E27">
            <v>194.3</v>
          </cell>
          <cell r="F27">
            <v>121</v>
          </cell>
        </row>
      </sheetData>
      <sheetData sheetId="71">
        <row r="28">
          <cell r="H28">
            <v>45</v>
          </cell>
          <cell r="I28">
            <v>0</v>
          </cell>
        </row>
        <row r="31">
          <cell r="E31">
            <v>1100.6999999999998</v>
          </cell>
          <cell r="F31">
            <v>667.59999999999991</v>
          </cell>
        </row>
        <row r="32">
          <cell r="E32">
            <v>142.9</v>
          </cell>
          <cell r="F32">
            <v>90</v>
          </cell>
        </row>
      </sheetData>
      <sheetData sheetId="72"/>
      <sheetData sheetId="73">
        <row r="17">
          <cell r="H17">
            <v>24</v>
          </cell>
          <cell r="I17">
            <v>4</v>
          </cell>
        </row>
        <row r="20">
          <cell r="E20">
            <v>570.40000000000009</v>
          </cell>
          <cell r="F20">
            <v>368.20000000000005</v>
          </cell>
        </row>
        <row r="21">
          <cell r="E21">
            <v>43.9</v>
          </cell>
          <cell r="F21">
            <v>27.5</v>
          </cell>
        </row>
      </sheetData>
      <sheetData sheetId="74">
        <row r="39">
          <cell r="H39">
            <v>59</v>
          </cell>
          <cell r="I39">
            <v>3</v>
          </cell>
        </row>
        <row r="42">
          <cell r="F42">
            <v>975.19999999999993</v>
          </cell>
        </row>
        <row r="43">
          <cell r="E43">
            <v>142.6</v>
          </cell>
          <cell r="F43">
            <v>89</v>
          </cell>
        </row>
      </sheetData>
      <sheetData sheetId="75">
        <row r="29">
          <cell r="H29">
            <v>51</v>
          </cell>
          <cell r="I29">
            <v>0</v>
          </cell>
        </row>
        <row r="32">
          <cell r="E32">
            <v>1329.9000000000003</v>
          </cell>
          <cell r="F32">
            <v>856.8</v>
          </cell>
        </row>
        <row r="33">
          <cell r="E33">
            <v>0</v>
          </cell>
          <cell r="F33">
            <v>0</v>
          </cell>
        </row>
      </sheetData>
      <sheetData sheetId="76">
        <row r="29">
          <cell r="H29">
            <v>53</v>
          </cell>
          <cell r="I29">
            <v>3</v>
          </cell>
        </row>
        <row r="32">
          <cell r="E32">
            <v>1181.3999999999999</v>
          </cell>
          <cell r="F32">
            <v>753.9</v>
          </cell>
        </row>
        <row r="33">
          <cell r="E33">
            <v>153.19999999999999</v>
          </cell>
          <cell r="F33">
            <v>106.6</v>
          </cell>
        </row>
      </sheetData>
      <sheetData sheetId="77">
        <row r="95">
          <cell r="H95">
            <v>186</v>
          </cell>
          <cell r="I95">
            <v>5</v>
          </cell>
        </row>
      </sheetData>
      <sheetData sheetId="78">
        <row r="65">
          <cell r="H65">
            <v>114</v>
          </cell>
          <cell r="I65">
            <v>0</v>
          </cell>
        </row>
        <row r="68">
          <cell r="F68">
            <v>1581.2000000000003</v>
          </cell>
        </row>
        <row r="69">
          <cell r="E69">
            <v>272.40000000000003</v>
          </cell>
          <cell r="F69">
            <v>181.29999999999998</v>
          </cell>
        </row>
      </sheetData>
      <sheetData sheetId="79">
        <row r="82">
          <cell r="H82">
            <v>101</v>
          </cell>
          <cell r="I82">
            <v>0</v>
          </cell>
        </row>
        <row r="85">
          <cell r="E85">
            <v>4097.2999999999984</v>
          </cell>
        </row>
        <row r="86">
          <cell r="E86">
            <v>0</v>
          </cell>
        </row>
      </sheetData>
      <sheetData sheetId="80">
        <row r="65">
          <cell r="H65">
            <v>92</v>
          </cell>
          <cell r="I65">
            <v>4</v>
          </cell>
        </row>
        <row r="66">
          <cell r="E66">
            <v>3729.5000000000009</v>
          </cell>
        </row>
      </sheetData>
      <sheetData sheetId="81">
        <row r="64">
          <cell r="H64">
            <v>122</v>
          </cell>
          <cell r="I64">
            <v>0</v>
          </cell>
        </row>
        <row r="67">
          <cell r="E67">
            <v>2488.3999999999992</v>
          </cell>
          <cell r="F67">
            <v>1673.5999999999997</v>
          </cell>
        </row>
        <row r="68">
          <cell r="E68">
            <v>103.80000000000001</v>
          </cell>
          <cell r="F68">
            <v>74.099999999999994</v>
          </cell>
        </row>
      </sheetData>
      <sheetData sheetId="82">
        <row r="110">
          <cell r="G110">
            <v>0</v>
          </cell>
          <cell r="H110">
            <v>0</v>
          </cell>
          <cell r="I110">
            <v>263</v>
          </cell>
        </row>
        <row r="113">
          <cell r="E113">
            <v>6255.4999999999991</v>
          </cell>
          <cell r="F113">
            <v>3672.1000000000026</v>
          </cell>
        </row>
      </sheetData>
      <sheetData sheetId="8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U100"/>
  <sheetViews>
    <sheetView tabSelected="1" topLeftCell="A70" workbookViewId="0">
      <selection activeCell="Q89" sqref="Q89"/>
    </sheetView>
  </sheetViews>
  <sheetFormatPr defaultRowHeight="15"/>
  <cols>
    <col min="2" max="2" width="15" customWidth="1"/>
    <col min="4" max="4" width="15.140625" customWidth="1"/>
    <col min="74" max="74" width="11.85546875" customWidth="1"/>
    <col min="75" max="75" width="0.140625" hidden="1" customWidth="1"/>
    <col min="76" max="132" width="9.140625" hidden="1" customWidth="1"/>
    <col min="137" max="137" width="9.140625" customWidth="1"/>
    <col min="138" max="138" width="0.28515625" customWidth="1"/>
    <col min="139" max="143" width="9.140625" hidden="1" customWidth="1"/>
    <col min="144" max="144" width="12.42578125" hidden="1" customWidth="1"/>
    <col min="145" max="145" width="17.42578125" hidden="1" customWidth="1"/>
    <col min="146" max="151" width="9.140625" hidden="1" customWidth="1"/>
  </cols>
  <sheetData>
    <row r="2" spans="1:151" ht="15.75" thickBot="1">
      <c r="A2" s="1" t="s">
        <v>0</v>
      </c>
      <c r="B2" s="2"/>
      <c r="C2" s="2"/>
      <c r="D2" s="425" t="s">
        <v>1</v>
      </c>
      <c r="E2" s="425"/>
      <c r="F2" s="3"/>
      <c r="G2" s="3"/>
      <c r="H2" s="3"/>
      <c r="I2" s="426" t="s">
        <v>2</v>
      </c>
      <c r="J2" s="426"/>
      <c r="K2" s="426"/>
      <c r="L2" s="426"/>
      <c r="M2" s="426"/>
      <c r="N2" s="3"/>
      <c r="O2" s="427" t="s">
        <v>3</v>
      </c>
      <c r="P2" s="427"/>
      <c r="Q2" s="4"/>
      <c r="R2" s="4"/>
      <c r="S2" s="5"/>
      <c r="T2" s="428" t="s">
        <v>4</v>
      </c>
      <c r="U2" s="428"/>
      <c r="V2" s="428"/>
      <c r="W2" s="1" t="s">
        <v>5</v>
      </c>
      <c r="X2" s="1"/>
      <c r="Y2" s="1"/>
      <c r="Z2" s="427" t="s">
        <v>6</v>
      </c>
      <c r="AA2" s="427"/>
      <c r="AD2" s="3" t="s">
        <v>7</v>
      </c>
      <c r="AE2" s="3"/>
      <c r="AF2" s="3"/>
      <c r="AG2" s="3"/>
      <c r="AH2" s="3"/>
      <c r="AI2" s="428" t="s">
        <v>8</v>
      </c>
      <c r="AJ2" s="428"/>
      <c r="AK2" s="428"/>
      <c r="AL2" s="428"/>
      <c r="AM2" s="428"/>
      <c r="AN2" s="6"/>
      <c r="AO2" s="3" t="s">
        <v>9</v>
      </c>
      <c r="AP2" s="3"/>
      <c r="AQ2" s="7"/>
      <c r="AR2" s="7"/>
      <c r="AS2" s="3"/>
      <c r="AT2" s="3"/>
      <c r="AU2" s="3"/>
      <c r="AV2" s="8" t="s">
        <v>10</v>
      </c>
      <c r="AW2" s="9"/>
      <c r="AX2" s="9"/>
      <c r="AY2" s="9"/>
      <c r="AZ2" s="9"/>
      <c r="BA2" s="9"/>
      <c r="BB2" s="9"/>
      <c r="BC2" s="8" t="s">
        <v>11</v>
      </c>
      <c r="BD2" s="8"/>
      <c r="BE2" s="8"/>
      <c r="BF2" s="8"/>
      <c r="BG2" s="8"/>
      <c r="BH2" s="6"/>
      <c r="BI2" s="6"/>
      <c r="BJ2" s="6"/>
      <c r="BK2" s="407" t="s">
        <v>12</v>
      </c>
      <c r="BL2" s="407"/>
      <c r="BM2" s="407"/>
      <c r="BN2" s="407"/>
      <c r="BO2" s="407"/>
      <c r="BP2" s="407"/>
      <c r="BQ2" s="407" t="s">
        <v>13</v>
      </c>
      <c r="BR2" s="407"/>
      <c r="BS2" s="407"/>
      <c r="BT2" s="10"/>
      <c r="BU2" s="6"/>
      <c r="BV2" s="6"/>
      <c r="BW2" s="6"/>
      <c r="BX2" s="6"/>
      <c r="BY2" s="11"/>
      <c r="BZ2" s="6"/>
      <c r="CA2" s="6"/>
      <c r="CB2" s="6"/>
      <c r="CC2" s="11"/>
      <c r="CD2" s="11"/>
      <c r="CE2" s="11"/>
      <c r="CF2" s="11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3" t="s">
        <v>14</v>
      </c>
      <c r="ED2" s="3"/>
      <c r="EE2" s="3"/>
      <c r="EF2" s="3"/>
      <c r="EG2" s="3"/>
      <c r="EH2" s="3"/>
      <c r="EI2" s="3" t="s">
        <v>15</v>
      </c>
      <c r="EJ2" s="3"/>
      <c r="EK2" s="3"/>
      <c r="EL2" s="3" t="s">
        <v>16</v>
      </c>
      <c r="EM2" s="3"/>
      <c r="EN2" s="3"/>
      <c r="EO2" s="3"/>
      <c r="EP2" s="6"/>
      <c r="EQ2" s="6"/>
    </row>
    <row r="3" spans="1:151" ht="19.5" customHeight="1" thickBot="1">
      <c r="A3" s="408" t="s">
        <v>17</v>
      </c>
      <c r="B3" s="408" t="s">
        <v>18</v>
      </c>
      <c r="C3" s="411" t="s">
        <v>19</v>
      </c>
      <c r="D3" s="414" t="s">
        <v>20</v>
      </c>
      <c r="E3" s="417" t="s">
        <v>21</v>
      </c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12"/>
      <c r="T3" s="12"/>
      <c r="U3" s="12"/>
      <c r="V3" s="13"/>
      <c r="W3" s="419" t="s">
        <v>22</v>
      </c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0"/>
      <c r="AR3" s="420"/>
      <c r="AS3" s="420"/>
      <c r="AT3" s="420"/>
      <c r="AU3" s="420"/>
      <c r="AV3" s="420"/>
      <c r="AW3" s="420"/>
      <c r="AX3" s="421"/>
      <c r="AY3" s="398" t="s">
        <v>23</v>
      </c>
      <c r="AZ3" s="422" t="s">
        <v>24</v>
      </c>
      <c r="BA3" s="404" t="s">
        <v>25</v>
      </c>
      <c r="BB3" s="405"/>
      <c r="BC3" s="405"/>
      <c r="BD3" s="405"/>
      <c r="BE3" s="405"/>
      <c r="BF3" s="405"/>
      <c r="BG3" s="405"/>
      <c r="BH3" s="405"/>
      <c r="BI3" s="405"/>
      <c r="BJ3" s="405"/>
      <c r="BK3" s="405"/>
      <c r="BL3" s="405"/>
      <c r="BM3" s="405"/>
      <c r="BN3" s="405"/>
      <c r="BO3" s="406"/>
      <c r="BP3" s="401" t="s">
        <v>26</v>
      </c>
      <c r="BQ3" s="402"/>
      <c r="BR3" s="402"/>
      <c r="BS3" s="403"/>
      <c r="BT3" s="398" t="s">
        <v>27</v>
      </c>
      <c r="BU3" s="398" t="s">
        <v>28</v>
      </c>
      <c r="BV3" s="398" t="s">
        <v>29</v>
      </c>
      <c r="BW3" s="398" t="s">
        <v>30</v>
      </c>
      <c r="BX3" s="398" t="s">
        <v>31</v>
      </c>
      <c r="BY3" s="341" t="s">
        <v>32</v>
      </c>
      <c r="BZ3" s="336" t="s">
        <v>33</v>
      </c>
      <c r="CA3" s="340"/>
      <c r="CB3" s="337"/>
      <c r="CC3" s="401" t="s">
        <v>34</v>
      </c>
      <c r="CD3" s="402"/>
      <c r="CE3" s="403"/>
      <c r="CF3" s="341" t="s">
        <v>35</v>
      </c>
      <c r="CG3" s="327" t="s">
        <v>36</v>
      </c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9"/>
      <c r="CW3" s="357" t="s">
        <v>37</v>
      </c>
      <c r="CX3" s="358"/>
      <c r="CY3" s="358"/>
      <c r="CZ3" s="358"/>
      <c r="DA3" s="358"/>
      <c r="DB3" s="358"/>
      <c r="DC3" s="358"/>
      <c r="DD3" s="358"/>
      <c r="DE3" s="358"/>
      <c r="DF3" s="358"/>
      <c r="DG3" s="358"/>
      <c r="DH3" s="358"/>
      <c r="DI3" s="358"/>
      <c r="DJ3" s="358"/>
      <c r="DK3" s="358"/>
      <c r="DL3" s="359"/>
      <c r="DM3" s="351" t="s">
        <v>38</v>
      </c>
      <c r="DN3" s="352"/>
      <c r="DO3" s="352"/>
      <c r="DP3" s="352"/>
      <c r="DQ3" s="352"/>
      <c r="DR3" s="352"/>
      <c r="DS3" s="352"/>
      <c r="DT3" s="352"/>
      <c r="DU3" s="352"/>
      <c r="DV3" s="352"/>
      <c r="DW3" s="352"/>
      <c r="DX3" s="352"/>
      <c r="DY3" s="352"/>
      <c r="DZ3" s="352"/>
      <c r="EA3" s="352"/>
      <c r="EB3" s="353"/>
      <c r="EC3" s="383" t="s">
        <v>39</v>
      </c>
      <c r="ED3" s="384"/>
      <c r="EE3" s="384"/>
      <c r="EF3" s="384"/>
      <c r="EG3" s="384"/>
      <c r="EH3" s="384"/>
      <c r="EI3" s="384"/>
      <c r="EJ3" s="384"/>
      <c r="EK3" s="384"/>
      <c r="EL3" s="384"/>
      <c r="EM3" s="384"/>
      <c r="EN3" s="384"/>
      <c r="EO3" s="384"/>
      <c r="EP3" s="384"/>
      <c r="EQ3" s="384"/>
      <c r="ER3" s="385"/>
      <c r="ES3" s="389" t="s">
        <v>40</v>
      </c>
      <c r="ET3" s="390"/>
      <c r="EU3" s="391"/>
    </row>
    <row r="4" spans="1:151" ht="15.75" customHeight="1" thickBot="1">
      <c r="A4" s="409"/>
      <c r="B4" s="409"/>
      <c r="C4" s="412"/>
      <c r="D4" s="415"/>
      <c r="E4" s="338" t="s">
        <v>41</v>
      </c>
      <c r="F4" s="338" t="s">
        <v>42</v>
      </c>
      <c r="G4" s="338" t="s">
        <v>43</v>
      </c>
      <c r="H4" s="338" t="s">
        <v>44</v>
      </c>
      <c r="I4" s="338" t="s">
        <v>45</v>
      </c>
      <c r="J4" s="338" t="s">
        <v>46</v>
      </c>
      <c r="K4" s="338" t="s">
        <v>47</v>
      </c>
      <c r="L4" s="338" t="s">
        <v>48</v>
      </c>
      <c r="M4" s="374" t="s">
        <v>49</v>
      </c>
      <c r="N4" s="375"/>
      <c r="O4" s="375"/>
      <c r="P4" s="375"/>
      <c r="Q4" s="376"/>
      <c r="R4" s="374" t="s">
        <v>50</v>
      </c>
      <c r="S4" s="375"/>
      <c r="T4" s="375"/>
      <c r="U4" s="375"/>
      <c r="V4" s="376"/>
      <c r="W4" s="380" t="s">
        <v>51</v>
      </c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2"/>
      <c r="AY4" s="399"/>
      <c r="AZ4" s="423"/>
      <c r="BA4" s="338" t="s">
        <v>52</v>
      </c>
      <c r="BB4" s="338" t="s">
        <v>53</v>
      </c>
      <c r="BC4" s="338" t="s">
        <v>54</v>
      </c>
      <c r="BD4" s="338" t="s">
        <v>55</v>
      </c>
      <c r="BE4" s="338" t="s">
        <v>56</v>
      </c>
      <c r="BF4" s="338" t="s">
        <v>57</v>
      </c>
      <c r="BG4" s="336" t="s">
        <v>58</v>
      </c>
      <c r="BH4" s="340"/>
      <c r="BI4" s="340"/>
      <c r="BJ4" s="340"/>
      <c r="BK4" s="337"/>
      <c r="BL4" s="338" t="s">
        <v>59</v>
      </c>
      <c r="BM4" s="371" t="s">
        <v>60</v>
      </c>
      <c r="BN4" s="338" t="s">
        <v>61</v>
      </c>
      <c r="BO4" s="371" t="s">
        <v>62</v>
      </c>
      <c r="BP4" s="341" t="s">
        <v>63</v>
      </c>
      <c r="BQ4" s="336" t="s">
        <v>64</v>
      </c>
      <c r="BR4" s="340"/>
      <c r="BS4" s="337"/>
      <c r="BT4" s="399"/>
      <c r="BU4" s="399"/>
      <c r="BV4" s="399"/>
      <c r="BW4" s="399"/>
      <c r="BX4" s="399"/>
      <c r="BY4" s="363"/>
      <c r="BZ4" s="364" t="s">
        <v>65</v>
      </c>
      <c r="CA4" s="364" t="s">
        <v>66</v>
      </c>
      <c r="CB4" s="364" t="s">
        <v>67</v>
      </c>
      <c r="CC4" s="367" t="s">
        <v>68</v>
      </c>
      <c r="CD4" s="367" t="s">
        <v>69</v>
      </c>
      <c r="CE4" s="367" t="s">
        <v>70</v>
      </c>
      <c r="CF4" s="363"/>
      <c r="CG4" s="330" t="s">
        <v>71</v>
      </c>
      <c r="CH4" s="330" t="s">
        <v>72</v>
      </c>
      <c r="CI4" s="330" t="s">
        <v>73</v>
      </c>
      <c r="CJ4" s="330" t="s">
        <v>74</v>
      </c>
      <c r="CK4" s="330" t="s">
        <v>75</v>
      </c>
      <c r="CL4" s="330" t="s">
        <v>76</v>
      </c>
      <c r="CM4" s="348" t="s">
        <v>77</v>
      </c>
      <c r="CN4" s="348" t="s">
        <v>78</v>
      </c>
      <c r="CO4" s="330" t="s">
        <v>79</v>
      </c>
      <c r="CP4" s="330" t="s">
        <v>80</v>
      </c>
      <c r="CQ4" s="330" t="s">
        <v>81</v>
      </c>
      <c r="CR4" s="327" t="s">
        <v>82</v>
      </c>
      <c r="CS4" s="328"/>
      <c r="CT4" s="328"/>
      <c r="CU4" s="329"/>
      <c r="CV4" s="330" t="s">
        <v>83</v>
      </c>
      <c r="CW4" s="332" t="s">
        <v>84</v>
      </c>
      <c r="CX4" s="332" t="s">
        <v>85</v>
      </c>
      <c r="CY4" s="332" t="s">
        <v>73</v>
      </c>
      <c r="CZ4" s="332" t="s">
        <v>74</v>
      </c>
      <c r="DA4" s="332" t="s">
        <v>86</v>
      </c>
      <c r="DB4" s="332" t="s">
        <v>76</v>
      </c>
      <c r="DC4" s="348" t="s">
        <v>77</v>
      </c>
      <c r="DD4" s="348" t="s">
        <v>78</v>
      </c>
      <c r="DE4" s="332" t="s">
        <v>87</v>
      </c>
      <c r="DF4" s="332" t="s">
        <v>88</v>
      </c>
      <c r="DG4" s="332" t="s">
        <v>89</v>
      </c>
      <c r="DH4" s="357" t="s">
        <v>90</v>
      </c>
      <c r="DI4" s="358"/>
      <c r="DJ4" s="358"/>
      <c r="DK4" s="359"/>
      <c r="DL4" s="332" t="s">
        <v>91</v>
      </c>
      <c r="DM4" s="343" t="s">
        <v>71</v>
      </c>
      <c r="DN4" s="343" t="s">
        <v>85</v>
      </c>
      <c r="DO4" s="343" t="s">
        <v>73</v>
      </c>
      <c r="DP4" s="343" t="s">
        <v>74</v>
      </c>
      <c r="DQ4" s="343" t="s">
        <v>86</v>
      </c>
      <c r="DR4" s="343" t="s">
        <v>76</v>
      </c>
      <c r="DS4" s="348" t="s">
        <v>77</v>
      </c>
      <c r="DT4" s="348" t="s">
        <v>78</v>
      </c>
      <c r="DU4" s="343" t="s">
        <v>92</v>
      </c>
      <c r="DV4" s="343" t="s">
        <v>93</v>
      </c>
      <c r="DW4" s="343" t="s">
        <v>94</v>
      </c>
      <c r="DX4" s="351" t="s">
        <v>90</v>
      </c>
      <c r="DY4" s="352"/>
      <c r="DZ4" s="352"/>
      <c r="EA4" s="353"/>
      <c r="EB4" s="343" t="s">
        <v>95</v>
      </c>
      <c r="EC4" s="386"/>
      <c r="ED4" s="387"/>
      <c r="EE4" s="387"/>
      <c r="EF4" s="387"/>
      <c r="EG4" s="387"/>
      <c r="EH4" s="387"/>
      <c r="EI4" s="387"/>
      <c r="EJ4" s="387"/>
      <c r="EK4" s="387"/>
      <c r="EL4" s="387"/>
      <c r="EM4" s="387"/>
      <c r="EN4" s="387"/>
      <c r="EO4" s="387"/>
      <c r="EP4" s="387"/>
      <c r="EQ4" s="387"/>
      <c r="ER4" s="388"/>
      <c r="ES4" s="392"/>
      <c r="ET4" s="393"/>
      <c r="EU4" s="394"/>
    </row>
    <row r="5" spans="1:151" ht="16.5" customHeight="1" thickBot="1">
      <c r="A5" s="409"/>
      <c r="B5" s="409"/>
      <c r="C5" s="412"/>
      <c r="D5" s="415"/>
      <c r="E5" s="370"/>
      <c r="F5" s="370"/>
      <c r="G5" s="370"/>
      <c r="H5" s="370"/>
      <c r="I5" s="370"/>
      <c r="J5" s="370"/>
      <c r="K5" s="370"/>
      <c r="L5" s="370"/>
      <c r="M5" s="377"/>
      <c r="N5" s="378"/>
      <c r="O5" s="378"/>
      <c r="P5" s="378"/>
      <c r="Q5" s="379"/>
      <c r="R5" s="377"/>
      <c r="S5" s="378"/>
      <c r="T5" s="378"/>
      <c r="U5" s="378"/>
      <c r="V5" s="379"/>
      <c r="W5" s="346" t="s">
        <v>96</v>
      </c>
      <c r="X5" s="347"/>
      <c r="Y5" s="346" t="s">
        <v>97</v>
      </c>
      <c r="Z5" s="347"/>
      <c r="AA5" s="346" t="s">
        <v>98</v>
      </c>
      <c r="AB5" s="347"/>
      <c r="AC5" s="346" t="s">
        <v>99</v>
      </c>
      <c r="AD5" s="347"/>
      <c r="AE5" s="346" t="s">
        <v>100</v>
      </c>
      <c r="AF5" s="347"/>
      <c r="AG5" s="346" t="s">
        <v>101</v>
      </c>
      <c r="AH5" s="347"/>
      <c r="AI5" s="346" t="s">
        <v>102</v>
      </c>
      <c r="AJ5" s="347"/>
      <c r="AK5" s="346" t="s">
        <v>103</v>
      </c>
      <c r="AL5" s="347"/>
      <c r="AM5" s="346" t="s">
        <v>104</v>
      </c>
      <c r="AN5" s="347"/>
      <c r="AO5" s="346" t="s">
        <v>105</v>
      </c>
      <c r="AP5" s="347"/>
      <c r="AQ5" s="346" t="s">
        <v>106</v>
      </c>
      <c r="AR5" s="347"/>
      <c r="AS5" s="336" t="s">
        <v>107</v>
      </c>
      <c r="AT5" s="337"/>
      <c r="AU5" s="336" t="s">
        <v>108</v>
      </c>
      <c r="AV5" s="337"/>
      <c r="AW5" s="336" t="s">
        <v>109</v>
      </c>
      <c r="AX5" s="337"/>
      <c r="AY5" s="399"/>
      <c r="AZ5" s="423"/>
      <c r="BA5" s="370"/>
      <c r="BB5" s="370"/>
      <c r="BC5" s="370"/>
      <c r="BD5" s="370"/>
      <c r="BE5" s="370"/>
      <c r="BF5" s="370"/>
      <c r="BG5" s="338" t="s">
        <v>110</v>
      </c>
      <c r="BH5" s="336" t="s">
        <v>111</v>
      </c>
      <c r="BI5" s="340"/>
      <c r="BJ5" s="340"/>
      <c r="BK5" s="337"/>
      <c r="BL5" s="370"/>
      <c r="BM5" s="372"/>
      <c r="BN5" s="370"/>
      <c r="BO5" s="372"/>
      <c r="BP5" s="363"/>
      <c r="BQ5" s="338" t="s">
        <v>112</v>
      </c>
      <c r="BR5" s="341" t="s">
        <v>113</v>
      </c>
      <c r="BS5" s="341" t="s">
        <v>114</v>
      </c>
      <c r="BT5" s="399"/>
      <c r="BU5" s="399"/>
      <c r="BV5" s="399"/>
      <c r="BW5" s="399"/>
      <c r="BX5" s="399"/>
      <c r="BY5" s="363"/>
      <c r="BZ5" s="365"/>
      <c r="CA5" s="365"/>
      <c r="CB5" s="365"/>
      <c r="CC5" s="368"/>
      <c r="CD5" s="368"/>
      <c r="CE5" s="368"/>
      <c r="CF5" s="363"/>
      <c r="CG5" s="335"/>
      <c r="CH5" s="335"/>
      <c r="CI5" s="335"/>
      <c r="CJ5" s="335"/>
      <c r="CK5" s="335"/>
      <c r="CL5" s="335"/>
      <c r="CM5" s="349"/>
      <c r="CN5" s="349"/>
      <c r="CO5" s="335"/>
      <c r="CP5" s="335"/>
      <c r="CQ5" s="335"/>
      <c r="CR5" s="330" t="s">
        <v>115</v>
      </c>
      <c r="CS5" s="327" t="s">
        <v>64</v>
      </c>
      <c r="CT5" s="328"/>
      <c r="CU5" s="329"/>
      <c r="CV5" s="335"/>
      <c r="CW5" s="333"/>
      <c r="CX5" s="333"/>
      <c r="CY5" s="333"/>
      <c r="CZ5" s="333"/>
      <c r="DA5" s="333"/>
      <c r="DB5" s="333"/>
      <c r="DC5" s="349"/>
      <c r="DD5" s="349"/>
      <c r="DE5" s="333"/>
      <c r="DF5" s="333"/>
      <c r="DG5" s="333"/>
      <c r="DH5" s="332" t="s">
        <v>116</v>
      </c>
      <c r="DI5" s="360" t="s">
        <v>64</v>
      </c>
      <c r="DJ5" s="361"/>
      <c r="DK5" s="362"/>
      <c r="DL5" s="333"/>
      <c r="DM5" s="344"/>
      <c r="DN5" s="344"/>
      <c r="DO5" s="344"/>
      <c r="DP5" s="344"/>
      <c r="DQ5" s="344"/>
      <c r="DR5" s="344"/>
      <c r="DS5" s="349"/>
      <c r="DT5" s="349"/>
      <c r="DU5" s="344"/>
      <c r="DV5" s="344"/>
      <c r="DW5" s="344"/>
      <c r="DX5" s="343" t="s">
        <v>116</v>
      </c>
      <c r="DY5" s="354" t="s">
        <v>117</v>
      </c>
      <c r="DZ5" s="355"/>
      <c r="EA5" s="356"/>
      <c r="EB5" s="344"/>
      <c r="EC5" s="324" t="s">
        <v>118</v>
      </c>
      <c r="ED5" s="325"/>
      <c r="EE5" s="325"/>
      <c r="EF5" s="325"/>
      <c r="EG5" s="326"/>
      <c r="EH5" s="324" t="s">
        <v>119</v>
      </c>
      <c r="EI5" s="325"/>
      <c r="EJ5" s="325"/>
      <c r="EK5" s="325"/>
      <c r="EL5" s="325"/>
      <c r="EM5" s="326"/>
      <c r="EN5" s="324" t="s">
        <v>120</v>
      </c>
      <c r="EO5" s="325"/>
      <c r="EP5" s="325"/>
      <c r="EQ5" s="325"/>
      <c r="ER5" s="326"/>
      <c r="ES5" s="395"/>
      <c r="ET5" s="396"/>
      <c r="EU5" s="397"/>
    </row>
    <row r="6" spans="1:151" ht="52.5" customHeight="1" thickBot="1">
      <c r="A6" s="410"/>
      <c r="B6" s="410"/>
      <c r="C6" s="413"/>
      <c r="D6" s="416"/>
      <c r="E6" s="339"/>
      <c r="F6" s="339"/>
      <c r="G6" s="339"/>
      <c r="H6" s="339"/>
      <c r="I6" s="339"/>
      <c r="J6" s="339"/>
      <c r="K6" s="339"/>
      <c r="L6" s="339"/>
      <c r="M6" s="14" t="s">
        <v>121</v>
      </c>
      <c r="N6" s="14" t="s">
        <v>122</v>
      </c>
      <c r="O6" s="15" t="s">
        <v>123</v>
      </c>
      <c r="P6" s="15" t="s">
        <v>124</v>
      </c>
      <c r="Q6" s="15" t="s">
        <v>125</v>
      </c>
      <c r="R6" s="14" t="s">
        <v>121</v>
      </c>
      <c r="S6" s="14" t="s">
        <v>122</v>
      </c>
      <c r="T6" s="16" t="s">
        <v>123</v>
      </c>
      <c r="U6" s="16" t="s">
        <v>124</v>
      </c>
      <c r="V6" s="16" t="s">
        <v>125</v>
      </c>
      <c r="W6" s="17" t="s">
        <v>126</v>
      </c>
      <c r="X6" s="18" t="s">
        <v>127</v>
      </c>
      <c r="Y6" s="18" t="s">
        <v>126</v>
      </c>
      <c r="Z6" s="18" t="s">
        <v>127</v>
      </c>
      <c r="AA6" s="18" t="s">
        <v>126</v>
      </c>
      <c r="AB6" s="18" t="s">
        <v>127</v>
      </c>
      <c r="AC6" s="18" t="s">
        <v>126</v>
      </c>
      <c r="AD6" s="18" t="s">
        <v>127</v>
      </c>
      <c r="AE6" s="18" t="s">
        <v>126</v>
      </c>
      <c r="AF6" s="18" t="s">
        <v>127</v>
      </c>
      <c r="AG6" s="18" t="s">
        <v>126</v>
      </c>
      <c r="AH6" s="18" t="s">
        <v>127</v>
      </c>
      <c r="AI6" s="18" t="s">
        <v>126</v>
      </c>
      <c r="AJ6" s="18" t="s">
        <v>127</v>
      </c>
      <c r="AK6" s="18" t="s">
        <v>126</v>
      </c>
      <c r="AL6" s="18" t="s">
        <v>127</v>
      </c>
      <c r="AM6" s="18" t="s">
        <v>126</v>
      </c>
      <c r="AN6" s="18" t="s">
        <v>127</v>
      </c>
      <c r="AO6" s="18" t="s">
        <v>126</v>
      </c>
      <c r="AP6" s="18" t="s">
        <v>127</v>
      </c>
      <c r="AQ6" s="18" t="s">
        <v>126</v>
      </c>
      <c r="AR6" s="18" t="s">
        <v>127</v>
      </c>
      <c r="AS6" s="16" t="s">
        <v>126</v>
      </c>
      <c r="AT6" s="16" t="s">
        <v>127</v>
      </c>
      <c r="AU6" s="16" t="s">
        <v>126</v>
      </c>
      <c r="AV6" s="16" t="s">
        <v>127</v>
      </c>
      <c r="AW6" s="16" t="s">
        <v>126</v>
      </c>
      <c r="AX6" s="16" t="s">
        <v>127</v>
      </c>
      <c r="AY6" s="400"/>
      <c r="AZ6" s="424"/>
      <c r="BA6" s="339"/>
      <c r="BB6" s="339"/>
      <c r="BC6" s="339"/>
      <c r="BD6" s="339"/>
      <c r="BE6" s="339"/>
      <c r="BF6" s="339"/>
      <c r="BG6" s="339"/>
      <c r="BH6" s="16" t="s">
        <v>128</v>
      </c>
      <c r="BI6" s="16" t="s">
        <v>129</v>
      </c>
      <c r="BJ6" s="16" t="s">
        <v>130</v>
      </c>
      <c r="BK6" s="19">
        <v>62</v>
      </c>
      <c r="BL6" s="339"/>
      <c r="BM6" s="373"/>
      <c r="BN6" s="339"/>
      <c r="BO6" s="373"/>
      <c r="BP6" s="342"/>
      <c r="BQ6" s="339"/>
      <c r="BR6" s="342"/>
      <c r="BS6" s="342"/>
      <c r="BT6" s="400"/>
      <c r="BU6" s="400"/>
      <c r="BV6" s="400"/>
      <c r="BW6" s="400"/>
      <c r="BX6" s="400"/>
      <c r="BY6" s="342"/>
      <c r="BZ6" s="366"/>
      <c r="CA6" s="366"/>
      <c r="CB6" s="366"/>
      <c r="CC6" s="369"/>
      <c r="CD6" s="369"/>
      <c r="CE6" s="369"/>
      <c r="CF6" s="342"/>
      <c r="CG6" s="331"/>
      <c r="CH6" s="331"/>
      <c r="CI6" s="331"/>
      <c r="CJ6" s="331"/>
      <c r="CK6" s="331"/>
      <c r="CL6" s="331"/>
      <c r="CM6" s="350"/>
      <c r="CN6" s="350"/>
      <c r="CO6" s="331"/>
      <c r="CP6" s="331"/>
      <c r="CQ6" s="331"/>
      <c r="CR6" s="331"/>
      <c r="CS6" s="20" t="s">
        <v>112</v>
      </c>
      <c r="CT6" s="21" t="s">
        <v>113</v>
      </c>
      <c r="CU6" s="22" t="s">
        <v>114</v>
      </c>
      <c r="CV6" s="331"/>
      <c r="CW6" s="334"/>
      <c r="CX6" s="334"/>
      <c r="CY6" s="334"/>
      <c r="CZ6" s="334"/>
      <c r="DA6" s="334"/>
      <c r="DB6" s="334"/>
      <c r="DC6" s="350"/>
      <c r="DD6" s="350"/>
      <c r="DE6" s="334"/>
      <c r="DF6" s="334"/>
      <c r="DG6" s="334"/>
      <c r="DH6" s="334"/>
      <c r="DI6" s="23" t="s">
        <v>112</v>
      </c>
      <c r="DJ6" s="24" t="s">
        <v>113</v>
      </c>
      <c r="DK6" s="24" t="s">
        <v>114</v>
      </c>
      <c r="DL6" s="334"/>
      <c r="DM6" s="345"/>
      <c r="DN6" s="345"/>
      <c r="DO6" s="345"/>
      <c r="DP6" s="345"/>
      <c r="DQ6" s="345"/>
      <c r="DR6" s="345"/>
      <c r="DS6" s="350"/>
      <c r="DT6" s="350"/>
      <c r="DU6" s="345"/>
      <c r="DV6" s="345"/>
      <c r="DW6" s="345"/>
      <c r="DX6" s="345"/>
      <c r="DY6" s="25" t="s">
        <v>112</v>
      </c>
      <c r="DZ6" s="26" t="s">
        <v>113</v>
      </c>
      <c r="EA6" s="26" t="s">
        <v>114</v>
      </c>
      <c r="EB6" s="345"/>
      <c r="EC6" s="27" t="s">
        <v>131</v>
      </c>
      <c r="ED6" s="28" t="s">
        <v>132</v>
      </c>
      <c r="EE6" s="28" t="s">
        <v>133</v>
      </c>
      <c r="EF6" s="28" t="s">
        <v>134</v>
      </c>
      <c r="EG6" s="29" t="s">
        <v>135</v>
      </c>
      <c r="EH6" s="30" t="s">
        <v>136</v>
      </c>
      <c r="EI6" s="31" t="s">
        <v>137</v>
      </c>
      <c r="EJ6" s="31" t="s">
        <v>138</v>
      </c>
      <c r="EK6" s="32" t="s">
        <v>135</v>
      </c>
      <c r="EL6" s="32" t="s">
        <v>139</v>
      </c>
      <c r="EM6" s="32" t="s">
        <v>140</v>
      </c>
      <c r="EN6" s="30" t="s">
        <v>141</v>
      </c>
      <c r="EO6" s="33" t="s">
        <v>135</v>
      </c>
      <c r="EP6" s="33" t="s">
        <v>142</v>
      </c>
      <c r="EQ6" s="33" t="s">
        <v>143</v>
      </c>
      <c r="ER6" s="34" t="s">
        <v>144</v>
      </c>
      <c r="ES6" s="34" t="s">
        <v>145</v>
      </c>
      <c r="ET6" s="34" t="s">
        <v>146</v>
      </c>
      <c r="EU6" s="34" t="s">
        <v>147</v>
      </c>
    </row>
    <row r="7" spans="1:151" ht="15.75" thickBot="1">
      <c r="A7" s="35">
        <v>1</v>
      </c>
      <c r="B7" s="36">
        <v>2</v>
      </c>
      <c r="C7" s="36"/>
      <c r="D7" s="19"/>
      <c r="E7" s="19">
        <v>4</v>
      </c>
      <c r="F7" s="16">
        <v>9</v>
      </c>
      <c r="G7" s="19">
        <v>10</v>
      </c>
      <c r="H7" s="16">
        <v>11</v>
      </c>
      <c r="I7" s="19">
        <v>12</v>
      </c>
      <c r="J7" s="16">
        <v>13</v>
      </c>
      <c r="K7" s="19">
        <v>14</v>
      </c>
      <c r="L7" s="37">
        <v>15</v>
      </c>
      <c r="M7" s="19"/>
      <c r="N7" s="19"/>
      <c r="O7" s="38">
        <v>16</v>
      </c>
      <c r="P7" s="15">
        <v>17</v>
      </c>
      <c r="Q7" s="36">
        <v>18</v>
      </c>
      <c r="R7" s="39"/>
      <c r="S7" s="39"/>
      <c r="T7" s="37">
        <v>19</v>
      </c>
      <c r="U7" s="19">
        <v>20</v>
      </c>
      <c r="V7" s="16">
        <v>21</v>
      </c>
      <c r="W7" s="36">
        <v>22</v>
      </c>
      <c r="X7" s="15">
        <v>23</v>
      </c>
      <c r="Y7" s="36">
        <v>24</v>
      </c>
      <c r="Z7" s="15">
        <v>25</v>
      </c>
      <c r="AA7" s="36">
        <v>26</v>
      </c>
      <c r="AB7" s="15">
        <v>27</v>
      </c>
      <c r="AC7" s="36">
        <v>28</v>
      </c>
      <c r="AD7" s="16">
        <v>29</v>
      </c>
      <c r="AE7" s="19">
        <v>30</v>
      </c>
      <c r="AF7" s="16">
        <v>31</v>
      </c>
      <c r="AG7" s="19">
        <v>32</v>
      </c>
      <c r="AH7" s="16">
        <v>33</v>
      </c>
      <c r="AI7" s="19">
        <v>34</v>
      </c>
      <c r="AJ7" s="16">
        <v>35</v>
      </c>
      <c r="AK7" s="19">
        <v>36</v>
      </c>
      <c r="AL7" s="16">
        <v>37</v>
      </c>
      <c r="AM7" s="19">
        <v>38</v>
      </c>
      <c r="AN7" s="16">
        <v>39</v>
      </c>
      <c r="AO7" s="19">
        <v>40</v>
      </c>
      <c r="AP7" s="16">
        <v>41</v>
      </c>
      <c r="AQ7" s="40">
        <v>42</v>
      </c>
      <c r="AR7" s="41">
        <v>43</v>
      </c>
      <c r="AS7" s="19">
        <v>44</v>
      </c>
      <c r="AT7" s="16">
        <v>45</v>
      </c>
      <c r="AU7" s="19">
        <v>46</v>
      </c>
      <c r="AV7" s="16">
        <v>47</v>
      </c>
      <c r="AW7" s="19">
        <v>48</v>
      </c>
      <c r="AX7" s="16">
        <v>49</v>
      </c>
      <c r="AY7" s="19">
        <v>50</v>
      </c>
      <c r="AZ7" s="16">
        <v>0</v>
      </c>
      <c r="BA7" s="19">
        <v>52</v>
      </c>
      <c r="BB7" s="16">
        <v>53</v>
      </c>
      <c r="BC7" s="19">
        <v>54</v>
      </c>
      <c r="BD7" s="16">
        <v>55</v>
      </c>
      <c r="BE7" s="19">
        <v>56</v>
      </c>
      <c r="BF7" s="16">
        <v>57</v>
      </c>
      <c r="BG7" s="19">
        <v>58</v>
      </c>
      <c r="BH7" s="16">
        <v>59</v>
      </c>
      <c r="BI7" s="19">
        <v>60</v>
      </c>
      <c r="BJ7" s="16">
        <v>61</v>
      </c>
      <c r="BK7" s="16">
        <v>62</v>
      </c>
      <c r="BL7" s="16">
        <v>63</v>
      </c>
      <c r="BM7" s="19">
        <v>64</v>
      </c>
      <c r="BN7" s="16">
        <v>65</v>
      </c>
      <c r="BO7" s="19">
        <v>66</v>
      </c>
      <c r="BP7" s="19">
        <v>68</v>
      </c>
      <c r="BQ7" s="16">
        <v>69</v>
      </c>
      <c r="BR7" s="19">
        <v>70</v>
      </c>
      <c r="BS7" s="16">
        <v>71</v>
      </c>
      <c r="BT7" s="19">
        <v>72</v>
      </c>
      <c r="BU7" s="16">
        <v>73</v>
      </c>
      <c r="BV7" s="19"/>
      <c r="BW7" s="19"/>
      <c r="BX7" s="19"/>
      <c r="BY7" s="19">
        <v>74</v>
      </c>
      <c r="BZ7" s="16">
        <v>75</v>
      </c>
      <c r="CA7" s="19">
        <v>76</v>
      </c>
      <c r="CB7" s="16">
        <v>77</v>
      </c>
      <c r="CC7" s="19">
        <v>78</v>
      </c>
      <c r="CD7" s="16">
        <v>79</v>
      </c>
      <c r="CE7" s="19">
        <v>80</v>
      </c>
      <c r="CF7" s="16">
        <v>81</v>
      </c>
      <c r="CG7" s="19">
        <v>82</v>
      </c>
      <c r="CH7" s="16">
        <v>83</v>
      </c>
      <c r="CI7" s="19">
        <v>84</v>
      </c>
      <c r="CJ7" s="16">
        <v>85</v>
      </c>
      <c r="CK7" s="19">
        <v>86</v>
      </c>
      <c r="CL7" s="16">
        <v>87</v>
      </c>
      <c r="CM7" s="19">
        <v>88</v>
      </c>
      <c r="CN7" s="16">
        <v>89</v>
      </c>
      <c r="CO7" s="19">
        <v>90</v>
      </c>
      <c r="CP7" s="16">
        <v>91</v>
      </c>
      <c r="CQ7" s="19">
        <v>92</v>
      </c>
      <c r="CR7" s="16">
        <v>93</v>
      </c>
      <c r="CS7" s="19">
        <v>94</v>
      </c>
      <c r="CT7" s="16">
        <v>95</v>
      </c>
      <c r="CU7" s="19">
        <v>96</v>
      </c>
      <c r="CV7" s="16">
        <v>97</v>
      </c>
      <c r="CW7" s="19">
        <v>98</v>
      </c>
      <c r="CX7" s="16">
        <v>99</v>
      </c>
      <c r="CY7" s="19">
        <v>100</v>
      </c>
      <c r="CZ7" s="16">
        <v>101</v>
      </c>
      <c r="DA7" s="19">
        <v>102</v>
      </c>
      <c r="DB7" s="16">
        <v>103</v>
      </c>
      <c r="DC7" s="19">
        <v>104</v>
      </c>
      <c r="DD7" s="16">
        <v>105</v>
      </c>
      <c r="DE7" s="19">
        <v>106</v>
      </c>
      <c r="DF7" s="16">
        <v>107</v>
      </c>
      <c r="DG7" s="19">
        <v>108</v>
      </c>
      <c r="DH7" s="16">
        <v>109</v>
      </c>
      <c r="DI7" s="19">
        <v>110</v>
      </c>
      <c r="DJ7" s="16">
        <v>111</v>
      </c>
      <c r="DK7" s="19">
        <v>112</v>
      </c>
      <c r="DL7" s="16">
        <v>113</v>
      </c>
      <c r="DM7" s="19">
        <v>114</v>
      </c>
      <c r="DN7" s="16">
        <v>115</v>
      </c>
      <c r="DO7" s="19">
        <v>116</v>
      </c>
      <c r="DP7" s="16">
        <v>117</v>
      </c>
      <c r="DQ7" s="19">
        <v>118</v>
      </c>
      <c r="DR7" s="16">
        <v>119</v>
      </c>
      <c r="DS7" s="19">
        <v>120</v>
      </c>
      <c r="DT7" s="16">
        <v>121</v>
      </c>
      <c r="DU7" s="19">
        <v>122</v>
      </c>
      <c r="DV7" s="16">
        <v>123</v>
      </c>
      <c r="DW7" s="19">
        <v>124</v>
      </c>
      <c r="DX7" s="16">
        <v>125</v>
      </c>
      <c r="DY7" s="19">
        <v>126</v>
      </c>
      <c r="DZ7" s="16">
        <v>127</v>
      </c>
      <c r="EA7" s="19">
        <v>128</v>
      </c>
      <c r="EB7" s="42">
        <v>129</v>
      </c>
      <c r="EC7" s="43"/>
      <c r="ED7" s="44"/>
      <c r="EE7" s="44"/>
      <c r="EF7" s="44"/>
      <c r="EG7" s="44"/>
      <c r="EH7" s="45"/>
      <c r="EI7" s="44"/>
      <c r="EJ7" s="44"/>
      <c r="EK7" s="44"/>
      <c r="EL7" s="44"/>
      <c r="EM7" s="44"/>
      <c r="EN7" s="45"/>
      <c r="EO7" s="44"/>
      <c r="EP7" s="44"/>
      <c r="EQ7" s="44"/>
      <c r="ER7" s="46"/>
      <c r="ES7" s="46"/>
      <c r="ET7" s="46"/>
      <c r="EU7" s="46"/>
    </row>
    <row r="8" spans="1:151" ht="15.75" thickBot="1">
      <c r="A8" s="47">
        <v>1</v>
      </c>
      <c r="B8" s="48" t="s">
        <v>148</v>
      </c>
      <c r="C8" s="48">
        <v>1</v>
      </c>
      <c r="D8" s="49" t="s">
        <v>149</v>
      </c>
      <c r="E8" s="50" t="s">
        <v>150</v>
      </c>
      <c r="F8" s="51">
        <v>1972</v>
      </c>
      <c r="G8" s="51">
        <v>5</v>
      </c>
      <c r="H8" s="51">
        <v>4</v>
      </c>
      <c r="I8" s="52">
        <v>56</v>
      </c>
      <c r="J8" s="52">
        <v>120</v>
      </c>
      <c r="K8" s="52">
        <v>57</v>
      </c>
      <c r="L8" s="53">
        <f>'[1]Анк. 1'!H62+'[1]Анк. 1'!I62</f>
        <v>111</v>
      </c>
      <c r="M8" s="51">
        <v>2472</v>
      </c>
      <c r="N8" s="51">
        <v>165</v>
      </c>
      <c r="O8" s="54">
        <f>M8+N8</f>
        <v>2637</v>
      </c>
      <c r="P8" s="55"/>
      <c r="Q8" s="55"/>
      <c r="R8" s="56">
        <v>1680.8</v>
      </c>
      <c r="S8" s="56">
        <v>119.2</v>
      </c>
      <c r="T8" s="57">
        <f>R8+S8</f>
        <v>1800</v>
      </c>
      <c r="U8" s="51"/>
      <c r="V8" s="51"/>
      <c r="W8" s="58">
        <f t="shared" ref="W8:W71" si="0">O8+Q8</f>
        <v>2637</v>
      </c>
      <c r="X8" s="55">
        <f t="shared" ref="X8:X71" si="1">T8+V8</f>
        <v>1800</v>
      </c>
      <c r="Y8" s="55">
        <f t="shared" ref="Y8:Z43" si="2">W8</f>
        <v>2637</v>
      </c>
      <c r="Z8" s="55">
        <f t="shared" si="2"/>
        <v>1800</v>
      </c>
      <c r="AA8" s="55"/>
      <c r="AB8" s="55"/>
      <c r="AC8" s="55">
        <f t="shared" ref="AC8:AD17" si="3">Y8</f>
        <v>2637</v>
      </c>
      <c r="AD8" s="51">
        <f t="shared" si="3"/>
        <v>1800</v>
      </c>
      <c r="AE8" s="51"/>
      <c r="AF8" s="51"/>
      <c r="AG8" s="51"/>
      <c r="AH8" s="51"/>
      <c r="AI8" s="51"/>
      <c r="AJ8" s="51"/>
      <c r="AK8" s="57">
        <f t="shared" ref="AK8:AL43" si="4">Y8</f>
        <v>2637</v>
      </c>
      <c r="AL8" s="57">
        <f t="shared" si="4"/>
        <v>1800</v>
      </c>
      <c r="AM8" s="51"/>
      <c r="AN8" s="51"/>
      <c r="AO8" s="51"/>
      <c r="AP8" s="51"/>
      <c r="AQ8" s="59">
        <f t="shared" ref="AQ8:AR17" si="5">Y8</f>
        <v>2637</v>
      </c>
      <c r="AR8" s="59">
        <f t="shared" si="5"/>
        <v>1800</v>
      </c>
      <c r="AS8" s="51">
        <v>614.79999999999995</v>
      </c>
      <c r="AT8" s="51">
        <v>421</v>
      </c>
      <c r="AU8" s="51"/>
      <c r="AV8" s="51"/>
      <c r="AW8" s="51"/>
      <c r="AX8" s="51"/>
      <c r="AY8" s="51">
        <v>13</v>
      </c>
      <c r="AZ8" s="51">
        <v>10935622</v>
      </c>
      <c r="BA8" s="51"/>
      <c r="BB8" s="51"/>
      <c r="BC8" s="51">
        <f>12.5+12.5</f>
        <v>25</v>
      </c>
      <c r="BD8" s="51"/>
      <c r="BE8" s="51"/>
      <c r="BF8" s="51"/>
      <c r="BG8" s="51">
        <v>246.1</v>
      </c>
      <c r="BH8" s="51"/>
      <c r="BI8" s="51"/>
      <c r="BJ8" s="51"/>
      <c r="BK8" s="51"/>
      <c r="BL8" s="51"/>
      <c r="BM8" s="51"/>
      <c r="BN8" s="51"/>
      <c r="BO8" s="51"/>
      <c r="BP8" s="60">
        <f t="shared" ref="BP8:BP73" si="6">BT8*1.202</f>
        <v>652.32540000000006</v>
      </c>
      <c r="BQ8" s="51"/>
      <c r="BR8" s="61"/>
      <c r="BS8" s="62">
        <f t="shared" ref="BS8:BS22" si="7">BP8</f>
        <v>652.32540000000006</v>
      </c>
      <c r="BT8" s="62">
        <v>542.70000000000005</v>
      </c>
      <c r="BU8" s="51">
        <v>542.70000000000005</v>
      </c>
      <c r="BV8" s="51">
        <v>3796.1</v>
      </c>
      <c r="BW8" s="51"/>
      <c r="BX8" s="51"/>
      <c r="BY8" s="61"/>
      <c r="BZ8" s="51"/>
      <c r="CA8" s="51"/>
      <c r="CB8" s="51"/>
      <c r="CC8" s="61"/>
      <c r="CD8" s="61"/>
      <c r="CE8" s="61"/>
      <c r="CF8" s="6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63"/>
      <c r="CW8" s="63"/>
      <c r="CX8" s="51"/>
      <c r="CY8" s="51"/>
      <c r="CZ8" s="51"/>
      <c r="DA8" s="51"/>
      <c r="DB8" s="51"/>
      <c r="DC8" s="51"/>
      <c r="DD8" s="51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4"/>
      <c r="EC8" s="65">
        <f>21.6-0.72</f>
        <v>20.880000000000003</v>
      </c>
      <c r="ED8" s="65"/>
      <c r="EE8" s="65"/>
      <c r="EF8" s="65"/>
      <c r="EG8" s="65"/>
      <c r="EH8" s="65">
        <f t="shared" ref="EH8:EH14" si="8">O8</f>
        <v>2637</v>
      </c>
      <c r="EI8" s="65"/>
      <c r="EJ8" s="66"/>
      <c r="EK8" s="66"/>
      <c r="EL8" s="66">
        <f t="shared" ref="EL8:EL26" si="9">O8-EJ8+EI8</f>
        <v>2637</v>
      </c>
      <c r="EM8" s="66"/>
      <c r="EN8" s="67">
        <f>(EH8-EJ8)*EC8</f>
        <v>55060.560000000005</v>
      </c>
      <c r="EO8" s="67"/>
      <c r="EP8" s="68">
        <f t="shared" ref="EP8:EP71" si="10">ED8*EI8</f>
        <v>0</v>
      </c>
      <c r="EQ8" s="68"/>
      <c r="ER8" s="69">
        <f>M8*EE8</f>
        <v>0</v>
      </c>
      <c r="ES8" s="70">
        <v>9706.84</v>
      </c>
      <c r="ET8" s="71">
        <f t="shared" ref="ET8:ET13" si="11">EQ8+ER8-ES8</f>
        <v>-9706.84</v>
      </c>
      <c r="EU8" s="72">
        <f>ET8/4.41</f>
        <v>-2201.097505668934</v>
      </c>
    </row>
    <row r="9" spans="1:151" ht="15.75" thickBot="1">
      <c r="A9" s="47">
        <v>2</v>
      </c>
      <c r="B9" s="73" t="s">
        <v>148</v>
      </c>
      <c r="C9" s="73">
        <v>3</v>
      </c>
      <c r="D9" s="74" t="s">
        <v>151</v>
      </c>
      <c r="E9" s="50" t="s">
        <v>150</v>
      </c>
      <c r="F9" s="57">
        <v>1972</v>
      </c>
      <c r="G9" s="57">
        <v>5</v>
      </c>
      <c r="H9" s="57">
        <v>4</v>
      </c>
      <c r="I9" s="75">
        <v>78</v>
      </c>
      <c r="J9" s="75">
        <v>136</v>
      </c>
      <c r="K9" s="75">
        <v>78</v>
      </c>
      <c r="L9" s="53">
        <f>[1]Анк.3!H83+[1]Анк.3!I83</f>
        <v>130</v>
      </c>
      <c r="M9" s="57">
        <v>2701.5</v>
      </c>
      <c r="N9" s="57">
        <v>341.7</v>
      </c>
      <c r="O9" s="54">
        <f t="shared" ref="O9:O75" si="12">M9+N9</f>
        <v>3043.2</v>
      </c>
      <c r="P9" s="76"/>
      <c r="Q9" s="76">
        <v>44.5</v>
      </c>
      <c r="R9" s="77">
        <v>1723.6</v>
      </c>
      <c r="S9" s="77">
        <v>214</v>
      </c>
      <c r="T9" s="57">
        <f t="shared" ref="T9:T75" si="13">R9+S9</f>
        <v>1937.6</v>
      </c>
      <c r="U9" s="57"/>
      <c r="V9" s="57">
        <f>28.7</f>
        <v>28.7</v>
      </c>
      <c r="W9" s="78">
        <f t="shared" si="0"/>
        <v>3087.7</v>
      </c>
      <c r="X9" s="76">
        <f t="shared" si="1"/>
        <v>1966.3</v>
      </c>
      <c r="Y9" s="76">
        <f t="shared" si="2"/>
        <v>3087.7</v>
      </c>
      <c r="Z9" s="76">
        <f t="shared" si="2"/>
        <v>1966.3</v>
      </c>
      <c r="AA9" s="76"/>
      <c r="AB9" s="76"/>
      <c r="AC9" s="76">
        <f t="shared" si="3"/>
        <v>3087.7</v>
      </c>
      <c r="AD9" s="57">
        <f t="shared" si="3"/>
        <v>1966.3</v>
      </c>
      <c r="AE9" s="57"/>
      <c r="AF9" s="57"/>
      <c r="AG9" s="57"/>
      <c r="AH9" s="57"/>
      <c r="AI9" s="57"/>
      <c r="AJ9" s="57"/>
      <c r="AK9" s="57">
        <f t="shared" si="4"/>
        <v>3087.7</v>
      </c>
      <c r="AL9" s="57">
        <f t="shared" si="4"/>
        <v>1966.3</v>
      </c>
      <c r="AM9" s="57"/>
      <c r="AN9" s="57"/>
      <c r="AO9" s="57"/>
      <c r="AP9" s="57"/>
      <c r="AQ9" s="79">
        <f t="shared" si="5"/>
        <v>3087.7</v>
      </c>
      <c r="AR9" s="79">
        <f t="shared" si="5"/>
        <v>1966.3</v>
      </c>
      <c r="AS9" s="57">
        <v>819</v>
      </c>
      <c r="AT9" s="57">
        <v>522.5</v>
      </c>
      <c r="AU9" s="57"/>
      <c r="AV9" s="57"/>
      <c r="AW9" s="57"/>
      <c r="AX9" s="57"/>
      <c r="AY9" s="57">
        <v>20</v>
      </c>
      <c r="AZ9" s="57">
        <v>12196629</v>
      </c>
      <c r="BA9" s="57"/>
      <c r="BB9" s="57"/>
      <c r="BC9" s="57"/>
      <c r="BD9" s="57"/>
      <c r="BE9" s="57"/>
      <c r="BF9" s="57"/>
      <c r="BG9" s="57">
        <v>276.89999999999998</v>
      </c>
      <c r="BH9" s="57"/>
      <c r="BI9" s="57"/>
      <c r="BJ9" s="57"/>
      <c r="BK9" s="80"/>
      <c r="BL9" s="57"/>
      <c r="BM9" s="57"/>
      <c r="BN9" s="57"/>
      <c r="BO9" s="57"/>
      <c r="BP9" s="81">
        <f t="shared" si="6"/>
        <v>635.01659999999993</v>
      </c>
      <c r="BQ9" s="57"/>
      <c r="BR9" s="82"/>
      <c r="BS9" s="83">
        <f t="shared" si="7"/>
        <v>635.01659999999993</v>
      </c>
      <c r="BT9" s="83">
        <v>528.29999999999995</v>
      </c>
      <c r="BU9" s="57">
        <v>528.29999999999995</v>
      </c>
      <c r="BV9" s="57">
        <v>1236.9000000000001</v>
      </c>
      <c r="BW9" s="57"/>
      <c r="BX9" s="57"/>
      <c r="BY9" s="82"/>
      <c r="BZ9" s="84"/>
      <c r="CA9" s="84"/>
      <c r="CB9" s="84"/>
      <c r="CC9" s="85"/>
      <c r="CD9" s="85"/>
      <c r="CE9" s="85"/>
      <c r="CF9" s="85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6"/>
      <c r="CW9" s="86"/>
      <c r="CX9" s="80"/>
      <c r="CY9" s="80"/>
      <c r="CZ9" s="80"/>
      <c r="DA9" s="80"/>
      <c r="DB9" s="80"/>
      <c r="DC9" s="80"/>
      <c r="DD9" s="80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7"/>
      <c r="EC9" s="65">
        <f t="shared" ref="EC9:EC16" si="14">21.6-0.72</f>
        <v>20.880000000000003</v>
      </c>
      <c r="ED9" s="88"/>
      <c r="EE9" s="65"/>
      <c r="EF9" s="65"/>
      <c r="EG9" s="88"/>
      <c r="EH9" s="88">
        <f t="shared" si="8"/>
        <v>3043.2</v>
      </c>
      <c r="EI9" s="88"/>
      <c r="EJ9" s="66"/>
      <c r="EK9" s="66"/>
      <c r="EL9" s="66">
        <f t="shared" si="9"/>
        <v>3043.2</v>
      </c>
      <c r="EM9" s="66"/>
      <c r="EN9" s="67">
        <f t="shared" ref="EN9:EN72" si="15">EC9*EH9</f>
        <v>63542.016000000003</v>
      </c>
      <c r="EO9" s="67"/>
      <c r="EP9" s="68">
        <f t="shared" si="10"/>
        <v>0</v>
      </c>
      <c r="EQ9" s="68"/>
      <c r="ER9" s="69">
        <f>M9*EE9</f>
        <v>0</v>
      </c>
      <c r="ES9" s="89">
        <v>11847.02</v>
      </c>
      <c r="ET9" s="71">
        <f t="shared" si="11"/>
        <v>-11847.02</v>
      </c>
      <c r="EU9" s="71">
        <f t="shared" ref="EU9:EU75" si="16">ET9/4.41</f>
        <v>-2686.3990929705215</v>
      </c>
    </row>
    <row r="10" spans="1:151">
      <c r="A10" s="47">
        <v>3</v>
      </c>
      <c r="B10" s="73" t="s">
        <v>148</v>
      </c>
      <c r="C10" s="73">
        <v>5</v>
      </c>
      <c r="D10" s="74" t="s">
        <v>149</v>
      </c>
      <c r="E10" s="50" t="s">
        <v>150</v>
      </c>
      <c r="F10" s="57">
        <v>1976</v>
      </c>
      <c r="G10" s="57">
        <v>5</v>
      </c>
      <c r="H10" s="57">
        <v>4</v>
      </c>
      <c r="I10" s="75">
        <v>55</v>
      </c>
      <c r="J10" s="75">
        <v>116</v>
      </c>
      <c r="K10" s="75">
        <v>55</v>
      </c>
      <c r="L10" s="53">
        <f>'[1]Анк. 5'!H62+'[1]Анк. 5'!I62</f>
        <v>131</v>
      </c>
      <c r="M10" s="57">
        <v>2039.8</v>
      </c>
      <c r="N10" s="57">
        <f>'[1]Анк. 5'!E66</f>
        <v>544.80000000000007</v>
      </c>
      <c r="O10" s="54">
        <f t="shared" si="12"/>
        <v>2584.6</v>
      </c>
      <c r="P10" s="76"/>
      <c r="Q10" s="76"/>
      <c r="R10" s="77">
        <f>'[1]Анк. 5'!F65</f>
        <v>1403.2</v>
      </c>
      <c r="S10" s="77">
        <f>'[1]Анк. 5'!F66</f>
        <v>367.7</v>
      </c>
      <c r="T10" s="57">
        <f t="shared" si="13"/>
        <v>1770.9</v>
      </c>
      <c r="U10" s="57"/>
      <c r="V10" s="57"/>
      <c r="W10" s="78">
        <f t="shared" si="0"/>
        <v>2584.6</v>
      </c>
      <c r="X10" s="76">
        <f t="shared" si="1"/>
        <v>1770.9</v>
      </c>
      <c r="Y10" s="76">
        <f t="shared" si="2"/>
        <v>2584.6</v>
      </c>
      <c r="Z10" s="76">
        <f t="shared" si="2"/>
        <v>1770.9</v>
      </c>
      <c r="AA10" s="76"/>
      <c r="AB10" s="76"/>
      <c r="AC10" s="76">
        <f t="shared" si="3"/>
        <v>2584.6</v>
      </c>
      <c r="AD10" s="57">
        <f t="shared" si="3"/>
        <v>1770.9</v>
      </c>
      <c r="AE10" s="57"/>
      <c r="AF10" s="57"/>
      <c r="AG10" s="57"/>
      <c r="AH10" s="57"/>
      <c r="AI10" s="57"/>
      <c r="AJ10" s="57"/>
      <c r="AK10" s="57">
        <f t="shared" si="4"/>
        <v>2584.6</v>
      </c>
      <c r="AL10" s="57">
        <f t="shared" si="4"/>
        <v>1770.9</v>
      </c>
      <c r="AM10" s="57"/>
      <c r="AN10" s="57"/>
      <c r="AO10" s="57"/>
      <c r="AP10" s="57"/>
      <c r="AQ10" s="79">
        <f t="shared" si="5"/>
        <v>2584.6</v>
      </c>
      <c r="AR10" s="79">
        <f t="shared" si="5"/>
        <v>1770.9</v>
      </c>
      <c r="AS10" s="57">
        <v>1185</v>
      </c>
      <c r="AT10" s="57">
        <v>826.7</v>
      </c>
      <c r="AU10" s="57"/>
      <c r="AV10" s="57"/>
      <c r="AW10" s="57"/>
      <c r="AX10" s="57"/>
      <c r="AY10" s="57">
        <v>23</v>
      </c>
      <c r="AZ10" s="57">
        <v>11676481</v>
      </c>
      <c r="BA10" s="57">
        <v>122.6</v>
      </c>
      <c r="BB10" s="57"/>
      <c r="BC10" s="57">
        <v>13.2</v>
      </c>
      <c r="BD10" s="57"/>
      <c r="BE10" s="57"/>
      <c r="BF10" s="57"/>
      <c r="BG10" s="57">
        <v>299.2</v>
      </c>
      <c r="BH10" s="57"/>
      <c r="BI10" s="57"/>
      <c r="BJ10" s="57"/>
      <c r="BK10" s="80"/>
      <c r="BL10" s="57"/>
      <c r="BM10" s="57"/>
      <c r="BN10" s="57"/>
      <c r="BO10" s="57"/>
      <c r="BP10" s="81">
        <f t="shared" si="6"/>
        <v>660.37879999999996</v>
      </c>
      <c r="BQ10" s="57"/>
      <c r="BR10" s="82"/>
      <c r="BS10" s="83">
        <f t="shared" si="7"/>
        <v>660.37879999999996</v>
      </c>
      <c r="BT10" s="83">
        <v>549.4</v>
      </c>
      <c r="BU10" s="57">
        <v>549.4</v>
      </c>
      <c r="BV10" s="57">
        <v>2100.8000000000002</v>
      </c>
      <c r="BW10" s="57"/>
      <c r="BX10" s="57"/>
      <c r="BY10" s="82"/>
      <c r="BZ10" s="84"/>
      <c r="CA10" s="84"/>
      <c r="CB10" s="84"/>
      <c r="CC10" s="85"/>
      <c r="CD10" s="85"/>
      <c r="CE10" s="85"/>
      <c r="CF10" s="85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6"/>
      <c r="CW10" s="86"/>
      <c r="CX10" s="80"/>
      <c r="CY10" s="80"/>
      <c r="CZ10" s="80"/>
      <c r="DA10" s="80"/>
      <c r="DB10" s="80"/>
      <c r="DC10" s="80"/>
      <c r="DD10" s="80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7"/>
      <c r="EC10" s="65">
        <f t="shared" si="14"/>
        <v>20.880000000000003</v>
      </c>
      <c r="ED10" s="88"/>
      <c r="EE10" s="65"/>
      <c r="EF10" s="65"/>
      <c r="EG10" s="88"/>
      <c r="EH10" s="88">
        <f t="shared" si="8"/>
        <v>2584.6</v>
      </c>
      <c r="EI10" s="88"/>
      <c r="EJ10" s="66"/>
      <c r="EK10" s="66"/>
      <c r="EL10" s="66">
        <f t="shared" si="9"/>
        <v>2584.6</v>
      </c>
      <c r="EM10" s="66"/>
      <c r="EN10" s="67">
        <f t="shared" si="15"/>
        <v>53966.448000000004</v>
      </c>
      <c r="EO10" s="67"/>
      <c r="EP10" s="68">
        <f t="shared" si="10"/>
        <v>0</v>
      </c>
      <c r="EQ10" s="68"/>
      <c r="ER10" s="69">
        <f>M10*EE10</f>
        <v>0</v>
      </c>
      <c r="ES10" s="89">
        <v>9126.5400000000009</v>
      </c>
      <c r="ET10" s="71">
        <f t="shared" si="11"/>
        <v>-9126.5400000000009</v>
      </c>
      <c r="EU10" s="71">
        <f t="shared" si="16"/>
        <v>-2069.5102040816328</v>
      </c>
    </row>
    <row r="11" spans="1:151">
      <c r="A11" s="47">
        <v>4</v>
      </c>
      <c r="B11" s="90" t="s">
        <v>148</v>
      </c>
      <c r="C11" s="90">
        <v>7</v>
      </c>
      <c r="D11" s="91" t="s">
        <v>149</v>
      </c>
      <c r="E11" s="92" t="s">
        <v>150</v>
      </c>
      <c r="F11" s="93">
        <v>1974</v>
      </c>
      <c r="G11" s="93">
        <v>5</v>
      </c>
      <c r="H11" s="93">
        <v>4</v>
      </c>
      <c r="I11" s="94">
        <v>60</v>
      </c>
      <c r="J11" s="94">
        <v>120</v>
      </c>
      <c r="K11" s="94">
        <v>61</v>
      </c>
      <c r="L11" s="95">
        <f>[1]Анк.7!H66+[1]Анк.7!I66</f>
        <v>127</v>
      </c>
      <c r="M11" s="93">
        <v>2649.8</v>
      </c>
      <c r="N11" s="93">
        <v>47.3</v>
      </c>
      <c r="O11" s="96">
        <f t="shared" si="12"/>
        <v>2697.1000000000004</v>
      </c>
      <c r="P11" s="93"/>
      <c r="Q11" s="93"/>
      <c r="R11" s="97">
        <v>1797.8</v>
      </c>
      <c r="S11" s="97">
        <v>32.4</v>
      </c>
      <c r="T11" s="98">
        <f t="shared" si="13"/>
        <v>1830.2</v>
      </c>
      <c r="U11" s="93"/>
      <c r="V11" s="93"/>
      <c r="W11" s="99">
        <f t="shared" si="0"/>
        <v>2697.1000000000004</v>
      </c>
      <c r="X11" s="93">
        <f t="shared" si="1"/>
        <v>1830.2</v>
      </c>
      <c r="Y11" s="93">
        <f t="shared" si="2"/>
        <v>2697.1000000000004</v>
      </c>
      <c r="Z11" s="93">
        <f t="shared" si="2"/>
        <v>1830.2</v>
      </c>
      <c r="AA11" s="93"/>
      <c r="AB11" s="93"/>
      <c r="AC11" s="93">
        <f t="shared" si="3"/>
        <v>2697.1000000000004</v>
      </c>
      <c r="AD11" s="93">
        <f t="shared" si="3"/>
        <v>1830.2</v>
      </c>
      <c r="AE11" s="93"/>
      <c r="AF11" s="93"/>
      <c r="AG11" s="93"/>
      <c r="AH11" s="93"/>
      <c r="AI11" s="93"/>
      <c r="AJ11" s="93"/>
      <c r="AK11" s="93">
        <f t="shared" si="4"/>
        <v>2697.1000000000004</v>
      </c>
      <c r="AL11" s="93">
        <f t="shared" si="4"/>
        <v>1830.2</v>
      </c>
      <c r="AM11" s="93"/>
      <c r="AN11" s="93"/>
      <c r="AO11" s="93"/>
      <c r="AP11" s="93"/>
      <c r="AQ11" s="100">
        <f t="shared" si="5"/>
        <v>2697.1000000000004</v>
      </c>
      <c r="AR11" s="100">
        <f t="shared" si="5"/>
        <v>1830.2</v>
      </c>
      <c r="AS11" s="93">
        <v>856.1</v>
      </c>
      <c r="AT11" s="93">
        <v>595.4</v>
      </c>
      <c r="AU11" s="93"/>
      <c r="AV11" s="93"/>
      <c r="AW11" s="93"/>
      <c r="AX11" s="93"/>
      <c r="AY11" s="93">
        <v>18</v>
      </c>
      <c r="AZ11" s="93">
        <v>9261702</v>
      </c>
      <c r="BA11" s="93"/>
      <c r="BB11" s="93"/>
      <c r="BC11" s="93"/>
      <c r="BD11" s="93"/>
      <c r="BE11" s="93"/>
      <c r="BF11" s="93"/>
      <c r="BG11" s="93">
        <v>311.60000000000002</v>
      </c>
      <c r="BH11" s="93"/>
      <c r="BI11" s="93"/>
      <c r="BJ11" s="93"/>
      <c r="BK11" s="93"/>
      <c r="BL11" s="93"/>
      <c r="BM11" s="93"/>
      <c r="BN11" s="93"/>
      <c r="BO11" s="93"/>
      <c r="BP11" s="101">
        <f t="shared" si="6"/>
        <v>657.37379999999996</v>
      </c>
      <c r="BQ11" s="93"/>
      <c r="BR11" s="102"/>
      <c r="BS11" s="103">
        <f t="shared" si="7"/>
        <v>657.37379999999996</v>
      </c>
      <c r="BT11" s="103">
        <v>546.9</v>
      </c>
      <c r="BU11" s="93">
        <v>546.9</v>
      </c>
      <c r="BV11" s="93">
        <v>2337.9</v>
      </c>
      <c r="BW11" s="93"/>
      <c r="BX11" s="93"/>
      <c r="BY11" s="102"/>
      <c r="BZ11" s="93"/>
      <c r="CA11" s="93"/>
      <c r="CB11" s="93"/>
      <c r="CC11" s="102"/>
      <c r="CD11" s="102"/>
      <c r="CE11" s="102"/>
      <c r="CF11" s="102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104"/>
      <c r="CW11" s="104"/>
      <c r="CX11" s="93"/>
      <c r="CY11" s="93"/>
      <c r="CZ11" s="93"/>
      <c r="DA11" s="93"/>
      <c r="DB11" s="93"/>
      <c r="DC11" s="93"/>
      <c r="DD11" s="93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5"/>
      <c r="EC11" s="65">
        <f t="shared" si="14"/>
        <v>20.880000000000003</v>
      </c>
      <c r="ED11" s="95"/>
      <c r="EE11" s="106"/>
      <c r="EF11" s="106"/>
      <c r="EG11" s="95"/>
      <c r="EH11" s="95">
        <f t="shared" si="8"/>
        <v>2697.1000000000004</v>
      </c>
      <c r="EI11" s="95"/>
      <c r="EJ11" s="107"/>
      <c r="EK11" s="107"/>
      <c r="EL11" s="107">
        <f t="shared" si="9"/>
        <v>2697.1000000000004</v>
      </c>
      <c r="EM11" s="107"/>
      <c r="EN11" s="108">
        <f>(EH11-EJ11)*EC11</f>
        <v>56315.448000000011</v>
      </c>
      <c r="EO11" s="108"/>
      <c r="EP11" s="109">
        <f t="shared" si="10"/>
        <v>0</v>
      </c>
      <c r="EQ11" s="109">
        <f>EF11*EI11</f>
        <v>0</v>
      </c>
      <c r="ER11" s="109">
        <f>(M11-EJ11)*4.41</f>
        <v>11685.618</v>
      </c>
      <c r="ES11" s="95">
        <v>11384.24</v>
      </c>
      <c r="ET11" s="110">
        <f t="shared" si="11"/>
        <v>301.37800000000061</v>
      </c>
      <c r="EU11" s="110">
        <f t="shared" si="16"/>
        <v>68.33968253968267</v>
      </c>
    </row>
    <row r="12" spans="1:151">
      <c r="A12" s="47">
        <v>5</v>
      </c>
      <c r="B12" s="90" t="s">
        <v>148</v>
      </c>
      <c r="C12" s="90">
        <v>9</v>
      </c>
      <c r="D12" s="91" t="s">
        <v>149</v>
      </c>
      <c r="E12" s="92" t="s">
        <v>150</v>
      </c>
      <c r="F12" s="93">
        <v>1974</v>
      </c>
      <c r="G12" s="93">
        <v>5</v>
      </c>
      <c r="H12" s="93">
        <v>4</v>
      </c>
      <c r="I12" s="94">
        <v>59</v>
      </c>
      <c r="J12" s="94">
        <v>121</v>
      </c>
      <c r="K12" s="94">
        <v>59</v>
      </c>
      <c r="L12" s="95">
        <f>[1]Анк.9!H65+[1]Анк.9!I65</f>
        <v>114</v>
      </c>
      <c r="M12" s="93">
        <v>2566.3000000000002</v>
      </c>
      <c r="N12" s="93">
        <f>[1]Анк.9!E69</f>
        <v>121.1</v>
      </c>
      <c r="O12" s="96">
        <f t="shared" si="12"/>
        <v>2687.4</v>
      </c>
      <c r="P12" s="93"/>
      <c r="Q12" s="93"/>
      <c r="R12" s="97">
        <f>[1]Анк.9!F68</f>
        <v>1763</v>
      </c>
      <c r="S12" s="97">
        <f>[1]Анк.9!F69</f>
        <v>89.5</v>
      </c>
      <c r="T12" s="111">
        <f t="shared" si="13"/>
        <v>1852.5</v>
      </c>
      <c r="U12" s="93"/>
      <c r="V12" s="93"/>
      <c r="W12" s="99">
        <f t="shared" si="0"/>
        <v>2687.4</v>
      </c>
      <c r="X12" s="93">
        <f t="shared" si="1"/>
        <v>1852.5</v>
      </c>
      <c r="Y12" s="93">
        <f t="shared" si="2"/>
        <v>2687.4</v>
      </c>
      <c r="Z12" s="93">
        <f t="shared" si="2"/>
        <v>1852.5</v>
      </c>
      <c r="AA12" s="93"/>
      <c r="AB12" s="93"/>
      <c r="AC12" s="93">
        <f t="shared" si="3"/>
        <v>2687.4</v>
      </c>
      <c r="AD12" s="93">
        <f t="shared" si="3"/>
        <v>1852.5</v>
      </c>
      <c r="AE12" s="93"/>
      <c r="AF12" s="93"/>
      <c r="AG12" s="93"/>
      <c r="AH12" s="93"/>
      <c r="AI12" s="93"/>
      <c r="AJ12" s="93"/>
      <c r="AK12" s="93">
        <f t="shared" si="4"/>
        <v>2687.4</v>
      </c>
      <c r="AL12" s="93">
        <f t="shared" si="4"/>
        <v>1852.5</v>
      </c>
      <c r="AM12" s="93"/>
      <c r="AN12" s="93"/>
      <c r="AO12" s="93"/>
      <c r="AP12" s="93"/>
      <c r="AQ12" s="100">
        <f t="shared" si="5"/>
        <v>2687.4</v>
      </c>
      <c r="AR12" s="100">
        <f t="shared" si="5"/>
        <v>1852.5</v>
      </c>
      <c r="AS12" s="93">
        <v>1178.0999999999999</v>
      </c>
      <c r="AT12" s="93">
        <v>843.1</v>
      </c>
      <c r="AU12" s="93"/>
      <c r="AV12" s="93"/>
      <c r="AW12" s="93"/>
      <c r="AX12" s="93"/>
      <c r="AY12" s="93">
        <v>23</v>
      </c>
      <c r="AZ12" s="93">
        <v>10463292</v>
      </c>
      <c r="BA12" s="93">
        <v>43.5</v>
      </c>
      <c r="BB12" s="93"/>
      <c r="BC12" s="93"/>
      <c r="BD12" s="93"/>
      <c r="BE12" s="93"/>
      <c r="BF12" s="93"/>
      <c r="BG12" s="93">
        <v>272</v>
      </c>
      <c r="BH12" s="93"/>
      <c r="BI12" s="93"/>
      <c r="BJ12" s="93"/>
      <c r="BK12" s="112"/>
      <c r="BL12" s="93"/>
      <c r="BM12" s="93"/>
      <c r="BN12" s="93"/>
      <c r="BO12" s="93"/>
      <c r="BP12" s="101">
        <f t="shared" si="6"/>
        <v>656.53240000000005</v>
      </c>
      <c r="BQ12" s="93"/>
      <c r="BR12" s="102"/>
      <c r="BS12" s="103">
        <f t="shared" si="7"/>
        <v>656.53240000000005</v>
      </c>
      <c r="BT12" s="103">
        <v>546.20000000000005</v>
      </c>
      <c r="BU12" s="93">
        <v>546.20000000000005</v>
      </c>
      <c r="BV12" s="93">
        <v>3318.4</v>
      </c>
      <c r="BW12" s="93"/>
      <c r="BX12" s="93"/>
      <c r="BY12" s="102"/>
      <c r="BZ12" s="104"/>
      <c r="CA12" s="104"/>
      <c r="CB12" s="104"/>
      <c r="CC12" s="113"/>
      <c r="CD12" s="113"/>
      <c r="CE12" s="113"/>
      <c r="CF12" s="113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4"/>
      <c r="CW12" s="114"/>
      <c r="CX12" s="112"/>
      <c r="CY12" s="112"/>
      <c r="CZ12" s="112"/>
      <c r="DA12" s="112"/>
      <c r="DB12" s="112"/>
      <c r="DC12" s="112"/>
      <c r="DD12" s="112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5"/>
      <c r="EC12" s="65">
        <f t="shared" si="14"/>
        <v>20.880000000000003</v>
      </c>
      <c r="ED12" s="95"/>
      <c r="EE12" s="106"/>
      <c r="EF12" s="106"/>
      <c r="EG12" s="95"/>
      <c r="EH12" s="95">
        <f t="shared" si="8"/>
        <v>2687.4</v>
      </c>
      <c r="EI12" s="95"/>
      <c r="EJ12" s="107"/>
      <c r="EK12" s="107"/>
      <c r="EL12" s="107">
        <f t="shared" si="9"/>
        <v>2687.4</v>
      </c>
      <c r="EM12" s="107"/>
      <c r="EN12" s="108">
        <f t="shared" si="15"/>
        <v>56112.912000000011</v>
      </c>
      <c r="EO12" s="108"/>
      <c r="EP12" s="109">
        <f t="shared" si="10"/>
        <v>0</v>
      </c>
      <c r="EQ12" s="109"/>
      <c r="ER12" s="109">
        <f>M12*EE12</f>
        <v>0</v>
      </c>
      <c r="ES12" s="95">
        <v>10945.65</v>
      </c>
      <c r="ET12" s="110">
        <f t="shared" si="11"/>
        <v>-10945.65</v>
      </c>
      <c r="EU12" s="110">
        <f t="shared" si="16"/>
        <v>-2482.0068027210882</v>
      </c>
    </row>
    <row r="13" spans="1:151">
      <c r="A13" s="47">
        <v>6</v>
      </c>
      <c r="B13" s="73" t="s">
        <v>148</v>
      </c>
      <c r="C13" s="73">
        <v>11</v>
      </c>
      <c r="D13" s="74" t="s">
        <v>149</v>
      </c>
      <c r="E13" s="116" t="s">
        <v>150</v>
      </c>
      <c r="F13" s="80">
        <v>1974</v>
      </c>
      <c r="G13" s="57">
        <v>5</v>
      </c>
      <c r="H13" s="57">
        <v>4</v>
      </c>
      <c r="I13" s="117">
        <v>59</v>
      </c>
      <c r="J13" s="117">
        <v>120</v>
      </c>
      <c r="K13" s="117">
        <v>60</v>
      </c>
      <c r="L13" s="53">
        <f>[1]Анк.11!H65+[1]Анк.11!I65</f>
        <v>119</v>
      </c>
      <c r="M13" s="80">
        <f>[1]Анк.11!E68</f>
        <v>2538.2000000000007</v>
      </c>
      <c r="N13" s="80">
        <f>[1]Анк.11!E69</f>
        <v>151.69999999999999</v>
      </c>
      <c r="O13" s="118">
        <f t="shared" si="12"/>
        <v>2689.9000000000005</v>
      </c>
      <c r="P13" s="119"/>
      <c r="Q13" s="76"/>
      <c r="R13" s="77">
        <f>[1]Анк.11!F68</f>
        <v>1781.3</v>
      </c>
      <c r="S13" s="77">
        <f>[1]Анк.11!F69</f>
        <v>106.4</v>
      </c>
      <c r="T13" s="57">
        <f t="shared" si="13"/>
        <v>1887.7</v>
      </c>
      <c r="U13" s="80"/>
      <c r="V13" s="80"/>
      <c r="W13" s="78">
        <f t="shared" si="0"/>
        <v>2689.9000000000005</v>
      </c>
      <c r="X13" s="76">
        <f t="shared" si="1"/>
        <v>1887.7</v>
      </c>
      <c r="Y13" s="76">
        <f t="shared" si="2"/>
        <v>2689.9000000000005</v>
      </c>
      <c r="Z13" s="76">
        <f t="shared" si="2"/>
        <v>1887.7</v>
      </c>
      <c r="AA13" s="119"/>
      <c r="AB13" s="119"/>
      <c r="AC13" s="76">
        <f t="shared" si="3"/>
        <v>2689.9000000000005</v>
      </c>
      <c r="AD13" s="57">
        <f t="shared" si="3"/>
        <v>1887.7</v>
      </c>
      <c r="AE13" s="80"/>
      <c r="AF13" s="80"/>
      <c r="AG13" s="80"/>
      <c r="AH13" s="80"/>
      <c r="AI13" s="80"/>
      <c r="AJ13" s="80"/>
      <c r="AK13" s="57">
        <f t="shared" si="4"/>
        <v>2689.9000000000005</v>
      </c>
      <c r="AL13" s="57">
        <f t="shared" si="4"/>
        <v>1887.7</v>
      </c>
      <c r="AM13" s="80"/>
      <c r="AN13" s="80"/>
      <c r="AO13" s="80"/>
      <c r="AP13" s="80"/>
      <c r="AQ13" s="79">
        <f t="shared" si="5"/>
        <v>2689.9000000000005</v>
      </c>
      <c r="AR13" s="79">
        <f t="shared" si="5"/>
        <v>1887.7</v>
      </c>
      <c r="AS13" s="80">
        <v>1038.3</v>
      </c>
      <c r="AT13" s="80">
        <v>740.2</v>
      </c>
      <c r="AU13" s="80"/>
      <c r="AV13" s="80"/>
      <c r="AW13" s="80"/>
      <c r="AX13" s="80"/>
      <c r="AY13" s="80">
        <v>21</v>
      </c>
      <c r="AZ13" s="80">
        <v>9570829</v>
      </c>
      <c r="BA13" s="80"/>
      <c r="BB13" s="80"/>
      <c r="BC13" s="80"/>
      <c r="BD13" s="80"/>
      <c r="BE13" s="80"/>
      <c r="BF13" s="80"/>
      <c r="BG13" s="80">
        <v>280</v>
      </c>
      <c r="BH13" s="80"/>
      <c r="BI13" s="80"/>
      <c r="BJ13" s="80"/>
      <c r="BK13" s="57"/>
      <c r="BL13" s="80"/>
      <c r="BM13" s="80"/>
      <c r="BN13" s="80"/>
      <c r="BO13" s="80"/>
      <c r="BP13" s="81">
        <f t="shared" si="6"/>
        <v>665.54740000000004</v>
      </c>
      <c r="BQ13" s="80"/>
      <c r="BR13" s="120"/>
      <c r="BS13" s="83">
        <f t="shared" si="7"/>
        <v>665.54740000000004</v>
      </c>
      <c r="BT13" s="83">
        <v>553.70000000000005</v>
      </c>
      <c r="BU13" s="80">
        <v>553.70000000000005</v>
      </c>
      <c r="BV13" s="80">
        <v>2284.5</v>
      </c>
      <c r="BW13" s="80"/>
      <c r="BX13" s="80"/>
      <c r="BY13" s="120"/>
      <c r="BZ13" s="86"/>
      <c r="CA13" s="121"/>
      <c r="CB13" s="86"/>
      <c r="CC13" s="120"/>
      <c r="CD13" s="120"/>
      <c r="CE13" s="120"/>
      <c r="CF13" s="120"/>
      <c r="CG13" s="80"/>
      <c r="CH13" s="117"/>
      <c r="CI13" s="80"/>
      <c r="CJ13" s="80"/>
      <c r="CK13" s="80"/>
      <c r="CL13" s="80"/>
      <c r="CM13" s="80"/>
      <c r="CN13" s="80"/>
      <c r="CO13" s="80"/>
      <c r="CP13" s="80"/>
      <c r="CQ13" s="80"/>
      <c r="CR13" s="120"/>
      <c r="CS13" s="80"/>
      <c r="CT13" s="80"/>
      <c r="CU13" s="80"/>
      <c r="CV13" s="86"/>
      <c r="CW13" s="117"/>
      <c r="CX13" s="117"/>
      <c r="CY13" s="80"/>
      <c r="CZ13" s="80"/>
      <c r="DA13" s="80"/>
      <c r="DB13" s="80"/>
      <c r="DC13" s="120"/>
      <c r="DD13" s="120"/>
      <c r="DE13" s="80"/>
      <c r="DF13" s="80"/>
      <c r="DG13" s="80"/>
      <c r="DH13" s="120"/>
      <c r="DI13" s="80"/>
      <c r="DJ13" s="80"/>
      <c r="DK13" s="80"/>
      <c r="DL13" s="80"/>
      <c r="DM13" s="80"/>
      <c r="DN13" s="117"/>
      <c r="DO13" s="80"/>
      <c r="DP13" s="117"/>
      <c r="DQ13" s="117"/>
      <c r="DR13" s="80"/>
      <c r="DS13" s="120"/>
      <c r="DT13" s="120"/>
      <c r="DU13" s="80"/>
      <c r="DV13" s="86"/>
      <c r="DW13" s="80"/>
      <c r="DX13" s="120"/>
      <c r="DY13" s="80"/>
      <c r="DZ13" s="80"/>
      <c r="EA13" s="80"/>
      <c r="EB13" s="122"/>
      <c r="EC13" s="65">
        <f t="shared" si="14"/>
        <v>20.880000000000003</v>
      </c>
      <c r="ED13" s="88"/>
      <c r="EE13" s="65"/>
      <c r="EF13" s="65"/>
      <c r="EG13" s="88"/>
      <c r="EH13" s="88">
        <f t="shared" si="8"/>
        <v>2689.9000000000005</v>
      </c>
      <c r="EI13" s="88"/>
      <c r="EJ13" s="66"/>
      <c r="EK13" s="66"/>
      <c r="EL13" s="66">
        <f t="shared" si="9"/>
        <v>2689.9000000000005</v>
      </c>
      <c r="EM13" s="66"/>
      <c r="EN13" s="67">
        <f t="shared" si="15"/>
        <v>56165.112000000016</v>
      </c>
      <c r="EO13" s="67"/>
      <c r="EP13" s="68">
        <f t="shared" si="10"/>
        <v>0</v>
      </c>
      <c r="EQ13" s="68"/>
      <c r="ER13" s="69">
        <f>M13*EE13</f>
        <v>0</v>
      </c>
      <c r="ES13" s="71">
        <v>10261.01</v>
      </c>
      <c r="ET13" s="71">
        <f t="shared" si="11"/>
        <v>-10261.01</v>
      </c>
      <c r="EU13" s="71">
        <f t="shared" si="16"/>
        <v>-2326.7596371882087</v>
      </c>
    </row>
    <row r="14" spans="1:151">
      <c r="A14" s="47">
        <v>7</v>
      </c>
      <c r="B14" s="73" t="s">
        <v>148</v>
      </c>
      <c r="C14" s="73">
        <v>13</v>
      </c>
      <c r="D14" s="74" t="s">
        <v>149</v>
      </c>
      <c r="E14" s="116" t="s">
        <v>150</v>
      </c>
      <c r="F14" s="57">
        <v>1974</v>
      </c>
      <c r="G14" s="57">
        <v>5</v>
      </c>
      <c r="H14" s="57">
        <v>4</v>
      </c>
      <c r="I14" s="75">
        <v>59</v>
      </c>
      <c r="J14" s="75">
        <v>117</v>
      </c>
      <c r="K14" s="75">
        <v>60</v>
      </c>
      <c r="L14" s="53">
        <f>[1]Анк.13!H66+[1]Анк.13!I66</f>
        <v>134</v>
      </c>
      <c r="M14" s="57">
        <v>2461.6</v>
      </c>
      <c r="N14" s="57">
        <f>[1]Анк.13!E70</f>
        <v>197.29999999999998</v>
      </c>
      <c r="O14" s="54">
        <f t="shared" si="12"/>
        <v>2658.9</v>
      </c>
      <c r="P14" s="76"/>
      <c r="Q14" s="76"/>
      <c r="R14" s="77">
        <f>[1]Анк.13!F69</f>
        <v>1669.6999999999994</v>
      </c>
      <c r="S14" s="77">
        <f>[1]Анк.13!F70</f>
        <v>139.5</v>
      </c>
      <c r="T14" s="57">
        <f t="shared" si="13"/>
        <v>1809.1999999999994</v>
      </c>
      <c r="U14" s="57"/>
      <c r="V14" s="57"/>
      <c r="W14" s="78">
        <f t="shared" si="0"/>
        <v>2658.9</v>
      </c>
      <c r="X14" s="76">
        <f t="shared" si="1"/>
        <v>1809.1999999999994</v>
      </c>
      <c r="Y14" s="76">
        <f t="shared" si="2"/>
        <v>2658.9</v>
      </c>
      <c r="Z14" s="76">
        <f t="shared" si="2"/>
        <v>1809.1999999999994</v>
      </c>
      <c r="AA14" s="76"/>
      <c r="AB14" s="76"/>
      <c r="AC14" s="76">
        <f t="shared" si="3"/>
        <v>2658.9</v>
      </c>
      <c r="AD14" s="57">
        <f t="shared" si="3"/>
        <v>1809.1999999999994</v>
      </c>
      <c r="AE14" s="57"/>
      <c r="AF14" s="57"/>
      <c r="AG14" s="57"/>
      <c r="AH14" s="57"/>
      <c r="AI14" s="57"/>
      <c r="AJ14" s="57"/>
      <c r="AK14" s="57">
        <f t="shared" si="4"/>
        <v>2658.9</v>
      </c>
      <c r="AL14" s="57">
        <f t="shared" si="4"/>
        <v>1809.1999999999994</v>
      </c>
      <c r="AM14" s="57"/>
      <c r="AN14" s="57"/>
      <c r="AO14" s="57"/>
      <c r="AP14" s="57"/>
      <c r="AQ14" s="79">
        <f t="shared" si="5"/>
        <v>2658.9</v>
      </c>
      <c r="AR14" s="79">
        <f t="shared" si="5"/>
        <v>1809.1999999999994</v>
      </c>
      <c r="AS14" s="57">
        <v>995.8</v>
      </c>
      <c r="AT14" s="57">
        <v>676.5</v>
      </c>
      <c r="AU14" s="57"/>
      <c r="AV14" s="57"/>
      <c r="AW14" s="57"/>
      <c r="AX14" s="57"/>
      <c r="AY14" s="57">
        <v>22</v>
      </c>
      <c r="AZ14" s="57">
        <v>9543672</v>
      </c>
      <c r="BA14" s="57"/>
      <c r="BB14" s="57"/>
      <c r="BC14" s="57"/>
      <c r="BD14" s="57"/>
      <c r="BE14" s="57"/>
      <c r="BF14" s="57">
        <v>61.7</v>
      </c>
      <c r="BG14" s="57">
        <v>281</v>
      </c>
      <c r="BH14" s="57"/>
      <c r="BI14" s="57"/>
      <c r="BJ14" s="57"/>
      <c r="BK14" s="80"/>
      <c r="BL14" s="57"/>
      <c r="BM14" s="57"/>
      <c r="BN14" s="57"/>
      <c r="BO14" s="57"/>
      <c r="BP14" s="81">
        <f t="shared" si="6"/>
        <v>668.19179999999994</v>
      </c>
      <c r="BQ14" s="57"/>
      <c r="BR14" s="82"/>
      <c r="BS14" s="83">
        <f t="shared" si="7"/>
        <v>668.19179999999994</v>
      </c>
      <c r="BT14" s="83">
        <v>555.9</v>
      </c>
      <c r="BU14" s="57">
        <v>555.9</v>
      </c>
      <c r="BV14" s="57">
        <v>2745.8</v>
      </c>
      <c r="BW14" s="57"/>
      <c r="BX14" s="57"/>
      <c r="BY14" s="82"/>
      <c r="BZ14" s="84"/>
      <c r="CA14" s="84"/>
      <c r="CB14" s="84"/>
      <c r="CC14" s="85"/>
      <c r="CD14" s="85"/>
      <c r="CE14" s="85"/>
      <c r="CF14" s="85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6"/>
      <c r="CW14" s="86"/>
      <c r="CX14" s="80"/>
      <c r="CY14" s="80"/>
      <c r="CZ14" s="80"/>
      <c r="DA14" s="80"/>
      <c r="DB14" s="80"/>
      <c r="DC14" s="80"/>
      <c r="DD14" s="80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7"/>
      <c r="EC14" s="65">
        <f t="shared" si="14"/>
        <v>20.880000000000003</v>
      </c>
      <c r="ED14" s="88"/>
      <c r="EE14" s="65"/>
      <c r="EF14" s="65"/>
      <c r="EG14" s="88"/>
      <c r="EH14" s="88">
        <f t="shared" si="8"/>
        <v>2658.9</v>
      </c>
      <c r="EI14" s="88"/>
      <c r="EJ14" s="66"/>
      <c r="EK14" s="66"/>
      <c r="EL14" s="66">
        <f t="shared" si="9"/>
        <v>2658.9</v>
      </c>
      <c r="EM14" s="66"/>
      <c r="EN14" s="67">
        <f>(EH14-EJ14)*EC14</f>
        <v>55517.832000000009</v>
      </c>
      <c r="EO14" s="67"/>
      <c r="EP14" s="68">
        <f t="shared" si="10"/>
        <v>0</v>
      </c>
      <c r="EQ14" s="72">
        <f>EI14*EF14</f>
        <v>0</v>
      </c>
      <c r="ER14" s="69">
        <f>(M14-44.1)*4.41</f>
        <v>10661.175000000001</v>
      </c>
      <c r="ES14" s="89">
        <v>10254.23</v>
      </c>
      <c r="ET14" s="71">
        <f>EQ14+ER14-ES14</f>
        <v>406.94500000000153</v>
      </c>
      <c r="EU14" s="71">
        <f t="shared" si="16"/>
        <v>92.277777777778127</v>
      </c>
    </row>
    <row r="15" spans="1:151">
      <c r="A15" s="47">
        <v>8</v>
      </c>
      <c r="B15" s="90" t="s">
        <v>148</v>
      </c>
      <c r="C15" s="90">
        <v>17</v>
      </c>
      <c r="D15" s="91" t="s">
        <v>149</v>
      </c>
      <c r="E15" s="92" t="s">
        <v>150</v>
      </c>
      <c r="F15" s="112">
        <v>1975</v>
      </c>
      <c r="G15" s="93">
        <v>5</v>
      </c>
      <c r="H15" s="93">
        <v>8</v>
      </c>
      <c r="I15" s="123">
        <v>111</v>
      </c>
      <c r="J15" s="124">
        <v>228</v>
      </c>
      <c r="K15" s="123">
        <v>111</v>
      </c>
      <c r="L15" s="95">
        <f>[1]Анк.17!H117+[1]Анк.17!I117</f>
        <v>235</v>
      </c>
      <c r="M15" s="112">
        <f>[1]Анк.17!E120</f>
        <v>4713.5</v>
      </c>
      <c r="N15" s="112">
        <f>[1]Анк.17!E121</f>
        <v>521.19999999999993</v>
      </c>
      <c r="O15" s="96">
        <f t="shared" si="12"/>
        <v>5234.7</v>
      </c>
      <c r="P15" s="112"/>
      <c r="Q15" s="93">
        <f>92-44.2</f>
        <v>47.8</v>
      </c>
      <c r="R15" s="97">
        <f>[1]Анк.17!F120</f>
        <v>3249.3000000000006</v>
      </c>
      <c r="S15" s="97">
        <f>[1]Анк.17!F121</f>
        <v>356.2</v>
      </c>
      <c r="T15" s="93">
        <f t="shared" si="13"/>
        <v>3605.5000000000005</v>
      </c>
      <c r="U15" s="112"/>
      <c r="V15" s="112">
        <f>60.5-27.8</f>
        <v>32.700000000000003</v>
      </c>
      <c r="W15" s="99">
        <f t="shared" si="0"/>
        <v>5282.5</v>
      </c>
      <c r="X15" s="93">
        <f t="shared" si="1"/>
        <v>3638.2000000000003</v>
      </c>
      <c r="Y15" s="93">
        <f t="shared" si="2"/>
        <v>5282.5</v>
      </c>
      <c r="Z15" s="93">
        <f t="shared" si="2"/>
        <v>3638.2000000000003</v>
      </c>
      <c r="AA15" s="112"/>
      <c r="AB15" s="112"/>
      <c r="AC15" s="93">
        <f t="shared" si="3"/>
        <v>5282.5</v>
      </c>
      <c r="AD15" s="93">
        <f t="shared" si="3"/>
        <v>3638.2000000000003</v>
      </c>
      <c r="AE15" s="112"/>
      <c r="AF15" s="112"/>
      <c r="AG15" s="112"/>
      <c r="AH15" s="112"/>
      <c r="AI15" s="112"/>
      <c r="AJ15" s="112"/>
      <c r="AK15" s="93">
        <f t="shared" si="4"/>
        <v>5282.5</v>
      </c>
      <c r="AL15" s="93">
        <f t="shared" si="4"/>
        <v>3638.2000000000003</v>
      </c>
      <c r="AM15" s="112"/>
      <c r="AN15" s="112"/>
      <c r="AO15" s="112"/>
      <c r="AP15" s="112"/>
      <c r="AQ15" s="100">
        <f t="shared" si="5"/>
        <v>5282.5</v>
      </c>
      <c r="AR15" s="100">
        <f t="shared" si="5"/>
        <v>3638.2000000000003</v>
      </c>
      <c r="AS15" s="112">
        <v>4031.5</v>
      </c>
      <c r="AT15" s="112">
        <v>2795.3</v>
      </c>
      <c r="AU15" s="112"/>
      <c r="AV15" s="112"/>
      <c r="AW15" s="112"/>
      <c r="AX15" s="112"/>
      <c r="AY15" s="112">
        <v>84</v>
      </c>
      <c r="AZ15" s="112">
        <v>23848105</v>
      </c>
      <c r="BA15" s="112"/>
      <c r="BB15" s="112">
        <v>61.6</v>
      </c>
      <c r="BC15" s="112">
        <v>13.6</v>
      </c>
      <c r="BD15" s="112"/>
      <c r="BE15" s="112"/>
      <c r="BF15" s="112"/>
      <c r="BG15" s="112">
        <v>578</v>
      </c>
      <c r="BH15" s="112"/>
      <c r="BI15" s="112"/>
      <c r="BJ15" s="112"/>
      <c r="BK15" s="93"/>
      <c r="BL15" s="112"/>
      <c r="BM15" s="112"/>
      <c r="BN15" s="112"/>
      <c r="BO15" s="112"/>
      <c r="BP15" s="101">
        <f t="shared" si="6"/>
        <v>1263.0616</v>
      </c>
      <c r="BQ15" s="112"/>
      <c r="BR15" s="125"/>
      <c r="BS15" s="103">
        <f t="shared" si="7"/>
        <v>1263.0616</v>
      </c>
      <c r="BT15" s="103">
        <v>1050.8</v>
      </c>
      <c r="BU15" s="112">
        <v>1050.8</v>
      </c>
      <c r="BV15" s="126">
        <v>4028</v>
      </c>
      <c r="BW15" s="112"/>
      <c r="BX15" s="112"/>
      <c r="BY15" s="125"/>
      <c r="BZ15" s="114"/>
      <c r="CA15" s="127"/>
      <c r="CB15" s="114"/>
      <c r="CC15" s="125"/>
      <c r="CD15" s="125"/>
      <c r="CE15" s="125"/>
      <c r="CF15" s="125"/>
      <c r="CG15" s="112"/>
      <c r="CH15" s="124"/>
      <c r="CI15" s="112"/>
      <c r="CJ15" s="112"/>
      <c r="CK15" s="112"/>
      <c r="CL15" s="112"/>
      <c r="CM15" s="112"/>
      <c r="CN15" s="112"/>
      <c r="CO15" s="112"/>
      <c r="CP15" s="112"/>
      <c r="CQ15" s="112"/>
      <c r="CR15" s="125"/>
      <c r="CS15" s="112"/>
      <c r="CT15" s="112"/>
      <c r="CU15" s="112"/>
      <c r="CV15" s="114"/>
      <c r="CW15" s="124"/>
      <c r="CX15" s="124"/>
      <c r="CY15" s="112"/>
      <c r="CZ15" s="112"/>
      <c r="DA15" s="112"/>
      <c r="DB15" s="112"/>
      <c r="DC15" s="125"/>
      <c r="DD15" s="125"/>
      <c r="DE15" s="112"/>
      <c r="DF15" s="112"/>
      <c r="DG15" s="112"/>
      <c r="DH15" s="125"/>
      <c r="DI15" s="112"/>
      <c r="DJ15" s="112"/>
      <c r="DK15" s="112"/>
      <c r="DL15" s="112"/>
      <c r="DM15" s="112"/>
      <c r="DN15" s="124"/>
      <c r="DO15" s="112"/>
      <c r="DP15" s="124"/>
      <c r="DQ15" s="124"/>
      <c r="DR15" s="112"/>
      <c r="DS15" s="125"/>
      <c r="DT15" s="125"/>
      <c r="DU15" s="112"/>
      <c r="DV15" s="114"/>
      <c r="DW15" s="112"/>
      <c r="DX15" s="125"/>
      <c r="DY15" s="112"/>
      <c r="DZ15" s="112"/>
      <c r="EA15" s="112"/>
      <c r="EB15" s="128"/>
      <c r="EC15" s="65">
        <f t="shared" si="14"/>
        <v>20.880000000000003</v>
      </c>
      <c r="ED15" s="95"/>
      <c r="EE15" s="106"/>
      <c r="EF15" s="106"/>
      <c r="EG15" s="95"/>
      <c r="EH15" s="95">
        <f>O15</f>
        <v>5234.7</v>
      </c>
      <c r="EI15" s="95"/>
      <c r="EJ15" s="107"/>
      <c r="EK15" s="107"/>
      <c r="EL15" s="107">
        <f t="shared" si="9"/>
        <v>5234.7</v>
      </c>
      <c r="EM15" s="107"/>
      <c r="EN15" s="108">
        <f t="shared" si="15"/>
        <v>109300.53600000001</v>
      </c>
      <c r="EO15" s="108"/>
      <c r="EP15" s="109">
        <f t="shared" si="10"/>
        <v>0</v>
      </c>
      <c r="EQ15" s="109"/>
      <c r="ER15" s="109">
        <f t="shared" ref="ER15:ER22" si="17">M15*EE15</f>
        <v>0</v>
      </c>
      <c r="ES15" s="95">
        <v>20258.73</v>
      </c>
      <c r="ET15" s="110">
        <f t="shared" ref="ET15:ET84" si="18">EQ15+ER15-ES15</f>
        <v>-20258.73</v>
      </c>
      <c r="EU15" s="110">
        <f t="shared" si="16"/>
        <v>-4593.8163265306121</v>
      </c>
    </row>
    <row r="16" spans="1:151">
      <c r="A16" s="47">
        <v>9</v>
      </c>
      <c r="B16" s="73" t="s">
        <v>148</v>
      </c>
      <c r="C16" s="73" t="s">
        <v>152</v>
      </c>
      <c r="D16" s="74" t="s">
        <v>149</v>
      </c>
      <c r="E16" s="116" t="s">
        <v>150</v>
      </c>
      <c r="F16" s="57">
        <v>1976</v>
      </c>
      <c r="G16" s="57">
        <v>5</v>
      </c>
      <c r="H16" s="57">
        <v>4</v>
      </c>
      <c r="I16" s="75">
        <v>60</v>
      </c>
      <c r="J16" s="75">
        <v>120</v>
      </c>
      <c r="K16" s="75">
        <v>60</v>
      </c>
      <c r="L16" s="53">
        <f>[1]Анк.11А!H65+[1]Анк.11А!I65</f>
        <v>95</v>
      </c>
      <c r="M16" s="57">
        <f>[1]Анк.11А!E68</f>
        <v>2531.0999999999995</v>
      </c>
      <c r="N16" s="57">
        <f>[1]Анк.11А!E69</f>
        <v>180.3</v>
      </c>
      <c r="O16" s="54">
        <f t="shared" si="12"/>
        <v>2711.3999999999996</v>
      </c>
      <c r="P16" s="76"/>
      <c r="Q16" s="76"/>
      <c r="R16" s="77">
        <f>[1]Анк.11А!F68</f>
        <v>1702.6000000000001</v>
      </c>
      <c r="S16" s="77">
        <f>[1]Анк.11А!F69</f>
        <v>119.69999999999999</v>
      </c>
      <c r="T16" s="57">
        <f t="shared" si="13"/>
        <v>1822.3000000000002</v>
      </c>
      <c r="U16" s="57"/>
      <c r="V16" s="57"/>
      <c r="W16" s="78">
        <f t="shared" si="0"/>
        <v>2711.3999999999996</v>
      </c>
      <c r="X16" s="76">
        <f t="shared" si="1"/>
        <v>1822.3000000000002</v>
      </c>
      <c r="Y16" s="76">
        <f t="shared" si="2"/>
        <v>2711.3999999999996</v>
      </c>
      <c r="Z16" s="76">
        <f t="shared" si="2"/>
        <v>1822.3000000000002</v>
      </c>
      <c r="AA16" s="76"/>
      <c r="AB16" s="76"/>
      <c r="AC16" s="76">
        <f t="shared" si="3"/>
        <v>2711.3999999999996</v>
      </c>
      <c r="AD16" s="57">
        <f t="shared" si="3"/>
        <v>1822.3000000000002</v>
      </c>
      <c r="AE16" s="57"/>
      <c r="AF16" s="57"/>
      <c r="AG16" s="57"/>
      <c r="AH16" s="57"/>
      <c r="AI16" s="57"/>
      <c r="AJ16" s="57"/>
      <c r="AK16" s="57">
        <f t="shared" si="4"/>
        <v>2711.3999999999996</v>
      </c>
      <c r="AL16" s="57">
        <f t="shared" si="4"/>
        <v>1822.3000000000002</v>
      </c>
      <c r="AM16" s="57"/>
      <c r="AN16" s="57"/>
      <c r="AO16" s="57"/>
      <c r="AP16" s="57"/>
      <c r="AQ16" s="79">
        <f t="shared" si="5"/>
        <v>2711.3999999999996</v>
      </c>
      <c r="AR16" s="79">
        <f t="shared" si="5"/>
        <v>1822.3000000000002</v>
      </c>
      <c r="AS16" s="57">
        <v>2237.5</v>
      </c>
      <c r="AT16" s="57">
        <v>1508.2</v>
      </c>
      <c r="AU16" s="57"/>
      <c r="AV16" s="57"/>
      <c r="AW16" s="57"/>
      <c r="AX16" s="57"/>
      <c r="AY16" s="57">
        <v>49</v>
      </c>
      <c r="AZ16" s="57">
        <v>10577107</v>
      </c>
      <c r="BA16" s="57"/>
      <c r="BB16" s="57"/>
      <c r="BC16" s="57"/>
      <c r="BD16" s="57"/>
      <c r="BE16" s="57"/>
      <c r="BF16" s="57"/>
      <c r="BG16" s="57">
        <v>317.60000000000002</v>
      </c>
      <c r="BH16" s="57"/>
      <c r="BI16" s="57"/>
      <c r="BJ16" s="57"/>
      <c r="BK16" s="57"/>
      <c r="BL16" s="57"/>
      <c r="BM16" s="57"/>
      <c r="BN16" s="57"/>
      <c r="BO16" s="57"/>
      <c r="BP16" s="81">
        <f t="shared" si="6"/>
        <v>652.20519999999999</v>
      </c>
      <c r="BQ16" s="57"/>
      <c r="BR16" s="82"/>
      <c r="BS16" s="83">
        <f t="shared" si="7"/>
        <v>652.20519999999999</v>
      </c>
      <c r="BT16" s="83">
        <v>542.6</v>
      </c>
      <c r="BU16" s="57">
        <v>542.6</v>
      </c>
      <c r="BV16" s="57">
        <v>2931.1</v>
      </c>
      <c r="BW16" s="57"/>
      <c r="BX16" s="57"/>
      <c r="BY16" s="82"/>
      <c r="BZ16" s="57"/>
      <c r="CA16" s="57"/>
      <c r="CB16" s="57"/>
      <c r="CC16" s="82"/>
      <c r="CD16" s="82"/>
      <c r="CE16" s="82"/>
      <c r="CF16" s="82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84"/>
      <c r="CW16" s="84"/>
      <c r="CX16" s="57"/>
      <c r="CY16" s="57"/>
      <c r="CZ16" s="57"/>
      <c r="DA16" s="57"/>
      <c r="DB16" s="57"/>
      <c r="DC16" s="57"/>
      <c r="DD16" s="57"/>
      <c r="DE16" s="84"/>
      <c r="DF16" s="84"/>
      <c r="DG16" s="84"/>
      <c r="DH16" s="84"/>
      <c r="DI16" s="84"/>
      <c r="DJ16" s="84"/>
      <c r="DK16" s="84"/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4"/>
      <c r="DY16" s="84"/>
      <c r="DZ16" s="84"/>
      <c r="EA16" s="84"/>
      <c r="EB16" s="129"/>
      <c r="EC16" s="65">
        <f t="shared" si="14"/>
        <v>20.880000000000003</v>
      </c>
      <c r="ED16" s="88"/>
      <c r="EE16" s="65"/>
      <c r="EF16" s="65"/>
      <c r="EG16" s="88"/>
      <c r="EH16" s="88">
        <v>2711.2</v>
      </c>
      <c r="EI16" s="88"/>
      <c r="EJ16" s="66"/>
      <c r="EK16" s="66"/>
      <c r="EL16" s="66">
        <f t="shared" si="9"/>
        <v>2711.3999999999996</v>
      </c>
      <c r="EM16" s="66"/>
      <c r="EN16" s="67">
        <f t="shared" si="15"/>
        <v>56609.856</v>
      </c>
      <c r="EO16" s="67"/>
      <c r="EP16" s="68">
        <f t="shared" si="10"/>
        <v>0</v>
      </c>
      <c r="EQ16" s="68"/>
      <c r="ER16" s="69">
        <f t="shared" si="17"/>
        <v>0</v>
      </c>
      <c r="ES16" s="89">
        <v>10966.4</v>
      </c>
      <c r="ET16" s="71">
        <f t="shared" si="18"/>
        <v>-10966.4</v>
      </c>
      <c r="EU16" s="71">
        <f t="shared" si="16"/>
        <v>-2486.7120181405894</v>
      </c>
    </row>
    <row r="17" spans="1:151">
      <c r="A17" s="47">
        <v>10</v>
      </c>
      <c r="B17" s="73" t="s">
        <v>148</v>
      </c>
      <c r="C17" s="73" t="s">
        <v>153</v>
      </c>
      <c r="D17" s="74" t="s">
        <v>149</v>
      </c>
      <c r="E17" s="116" t="s">
        <v>150</v>
      </c>
      <c r="F17" s="57">
        <v>1976</v>
      </c>
      <c r="G17" s="57">
        <v>5</v>
      </c>
      <c r="H17" s="57">
        <v>4</v>
      </c>
      <c r="I17" s="75">
        <v>60</v>
      </c>
      <c r="J17" s="75">
        <v>118</v>
      </c>
      <c r="K17" s="75">
        <v>60</v>
      </c>
      <c r="L17" s="53">
        <f>[1]Анк.17А!H65+[1]Анк.17А!I65</f>
        <v>122</v>
      </c>
      <c r="M17" s="57">
        <v>2600.5</v>
      </c>
      <c r="N17" s="57">
        <v>140.69999999999999</v>
      </c>
      <c r="O17" s="54">
        <f t="shared" si="12"/>
        <v>2741.2</v>
      </c>
      <c r="P17" s="76"/>
      <c r="Q17" s="76"/>
      <c r="R17" s="77">
        <v>1750.7</v>
      </c>
      <c r="S17" s="77">
        <v>95.7</v>
      </c>
      <c r="T17" s="57">
        <f t="shared" si="13"/>
        <v>1846.4</v>
      </c>
      <c r="U17" s="57"/>
      <c r="V17" s="57"/>
      <c r="W17" s="78">
        <f t="shared" si="0"/>
        <v>2741.2</v>
      </c>
      <c r="X17" s="76">
        <f t="shared" si="1"/>
        <v>1846.4</v>
      </c>
      <c r="Y17" s="76">
        <f t="shared" si="2"/>
        <v>2741.2</v>
      </c>
      <c r="Z17" s="76">
        <f t="shared" si="2"/>
        <v>1846.4</v>
      </c>
      <c r="AA17" s="76"/>
      <c r="AB17" s="76"/>
      <c r="AC17" s="76">
        <f t="shared" si="3"/>
        <v>2741.2</v>
      </c>
      <c r="AD17" s="57">
        <f t="shared" si="3"/>
        <v>1846.4</v>
      </c>
      <c r="AE17" s="57"/>
      <c r="AF17" s="57"/>
      <c r="AG17" s="57"/>
      <c r="AH17" s="57"/>
      <c r="AI17" s="57"/>
      <c r="AJ17" s="57"/>
      <c r="AK17" s="57">
        <f t="shared" si="4"/>
        <v>2741.2</v>
      </c>
      <c r="AL17" s="57">
        <f t="shared" si="4"/>
        <v>1846.4</v>
      </c>
      <c r="AM17" s="57"/>
      <c r="AN17" s="57"/>
      <c r="AO17" s="57"/>
      <c r="AP17" s="57"/>
      <c r="AQ17" s="79">
        <f t="shared" si="5"/>
        <v>2741.2</v>
      </c>
      <c r="AR17" s="79">
        <f t="shared" si="5"/>
        <v>1846.4</v>
      </c>
      <c r="AS17" s="57">
        <v>2183.3000000000002</v>
      </c>
      <c r="AT17" s="57">
        <v>1467</v>
      </c>
      <c r="AU17" s="57"/>
      <c r="AV17" s="57"/>
      <c r="AW17" s="57"/>
      <c r="AX17" s="57"/>
      <c r="AY17" s="57">
        <v>48</v>
      </c>
      <c r="AZ17" s="57">
        <v>11833322</v>
      </c>
      <c r="BA17" s="57"/>
      <c r="BB17" s="57"/>
      <c r="BC17" s="57"/>
      <c r="BD17" s="57"/>
      <c r="BE17" s="57"/>
      <c r="BF17" s="57"/>
      <c r="BG17" s="57">
        <v>300.8</v>
      </c>
      <c r="BH17" s="57"/>
      <c r="BI17" s="57"/>
      <c r="BJ17" s="57"/>
      <c r="BK17" s="57"/>
      <c r="BL17" s="57"/>
      <c r="BM17" s="57"/>
      <c r="BN17" s="57"/>
      <c r="BO17" s="57"/>
      <c r="BP17" s="81">
        <f t="shared" si="6"/>
        <v>655.81119999999999</v>
      </c>
      <c r="BQ17" s="57"/>
      <c r="BR17" s="82"/>
      <c r="BS17" s="83">
        <f t="shared" si="7"/>
        <v>655.81119999999999</v>
      </c>
      <c r="BT17" s="83">
        <v>545.6</v>
      </c>
      <c r="BU17" s="57">
        <v>0</v>
      </c>
      <c r="BV17" s="57">
        <v>3033.5</v>
      </c>
      <c r="BW17" s="57"/>
      <c r="BX17" s="57"/>
      <c r="BY17" s="82"/>
      <c r="BZ17" s="57"/>
      <c r="CA17" s="57"/>
      <c r="CB17" s="57"/>
      <c r="CC17" s="82"/>
      <c r="CD17" s="82"/>
      <c r="CE17" s="82"/>
      <c r="CF17" s="82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84"/>
      <c r="CW17" s="84"/>
      <c r="CX17" s="57"/>
      <c r="CY17" s="57"/>
      <c r="CZ17" s="57"/>
      <c r="DA17" s="57"/>
      <c r="DB17" s="57"/>
      <c r="DC17" s="57"/>
      <c r="DD17" s="57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129"/>
      <c r="EC17" s="88">
        <f>23-0.72</f>
        <v>22.28</v>
      </c>
      <c r="ED17" s="88"/>
      <c r="EE17" s="65"/>
      <c r="EF17" s="65"/>
      <c r="EG17" s="88"/>
      <c r="EH17" s="88">
        <v>2740.9</v>
      </c>
      <c r="EI17" s="88"/>
      <c r="EJ17" s="66"/>
      <c r="EK17" s="66"/>
      <c r="EL17" s="66">
        <f t="shared" si="9"/>
        <v>2741.2</v>
      </c>
      <c r="EM17" s="66"/>
      <c r="EN17" s="67">
        <f t="shared" si="15"/>
        <v>61067.252000000008</v>
      </c>
      <c r="EO17" s="67"/>
      <c r="EP17" s="68">
        <f t="shared" si="10"/>
        <v>0</v>
      </c>
      <c r="EQ17" s="68"/>
      <c r="ER17" s="69">
        <f t="shared" si="17"/>
        <v>0</v>
      </c>
      <c r="ES17" s="89">
        <v>10848.66</v>
      </c>
      <c r="ET17" s="71">
        <f t="shared" si="18"/>
        <v>-10848.66</v>
      </c>
      <c r="EU17" s="71">
        <f t="shared" si="16"/>
        <v>-2460.0136054421769</v>
      </c>
    </row>
    <row r="18" spans="1:151">
      <c r="A18" s="47">
        <v>11</v>
      </c>
      <c r="B18" s="130" t="s">
        <v>148</v>
      </c>
      <c r="C18" s="130" t="s">
        <v>154</v>
      </c>
      <c r="D18" s="74" t="s">
        <v>155</v>
      </c>
      <c r="E18" s="116" t="s">
        <v>150</v>
      </c>
      <c r="F18" s="57">
        <v>1994</v>
      </c>
      <c r="G18" s="57">
        <v>6</v>
      </c>
      <c r="H18" s="57">
        <v>1</v>
      </c>
      <c r="I18" s="75">
        <v>27</v>
      </c>
      <c r="J18" s="75">
        <v>54</v>
      </c>
      <c r="K18" s="75">
        <v>27</v>
      </c>
      <c r="L18" s="53">
        <f>'[1]Анк. 3Б'!H34+'[1]Анк. 3Б'!I34</f>
        <v>47</v>
      </c>
      <c r="M18" s="57">
        <f>'[1]Анк. 3Б'!E37</f>
        <v>1437.6000000000001</v>
      </c>
      <c r="N18" s="57">
        <f>'[1]Анк. 3Б'!E38</f>
        <v>0</v>
      </c>
      <c r="O18" s="131">
        <f t="shared" si="12"/>
        <v>1437.6000000000001</v>
      </c>
      <c r="P18" s="57"/>
      <c r="Q18" s="57"/>
      <c r="R18" s="77">
        <f>'[1]Анк. 3Б'!F37</f>
        <v>786.7</v>
      </c>
      <c r="S18" s="77">
        <f>'[1]Анк. 3Б'!F38</f>
        <v>0</v>
      </c>
      <c r="T18" s="57">
        <f t="shared" si="13"/>
        <v>786.7</v>
      </c>
      <c r="U18" s="57"/>
      <c r="V18" s="57"/>
      <c r="W18" s="78">
        <f t="shared" si="0"/>
        <v>1437.6000000000001</v>
      </c>
      <c r="X18" s="76">
        <f t="shared" si="1"/>
        <v>786.7</v>
      </c>
      <c r="Y18" s="76">
        <f t="shared" si="2"/>
        <v>1437.6000000000001</v>
      </c>
      <c r="Z18" s="76">
        <f t="shared" si="2"/>
        <v>786.7</v>
      </c>
      <c r="AA18" s="57"/>
      <c r="AB18" s="57"/>
      <c r="AC18" s="76"/>
      <c r="AD18" s="57"/>
      <c r="AE18" s="57"/>
      <c r="AF18" s="57"/>
      <c r="AG18" s="57">
        <v>1438</v>
      </c>
      <c r="AH18" s="57">
        <v>786.7</v>
      </c>
      <c r="AI18" s="57"/>
      <c r="AJ18" s="57"/>
      <c r="AK18" s="57">
        <f t="shared" si="4"/>
        <v>1437.6000000000001</v>
      </c>
      <c r="AL18" s="57">
        <f t="shared" si="4"/>
        <v>786.7</v>
      </c>
      <c r="AM18" s="57"/>
      <c r="AN18" s="57"/>
      <c r="AO18" s="57">
        <v>1438</v>
      </c>
      <c r="AP18" s="57">
        <v>786.7</v>
      </c>
      <c r="AQ18" s="79"/>
      <c r="AR18" s="79"/>
      <c r="AS18" s="57">
        <v>1333.1</v>
      </c>
      <c r="AT18" s="57">
        <v>729.1</v>
      </c>
      <c r="AU18" s="57"/>
      <c r="AV18" s="57"/>
      <c r="AW18" s="57"/>
      <c r="AX18" s="57"/>
      <c r="AY18" s="57">
        <v>25</v>
      </c>
      <c r="AZ18" s="57">
        <v>3630483</v>
      </c>
      <c r="BA18" s="57"/>
      <c r="BB18" s="57">
        <f>66.7+339</f>
        <v>405.7</v>
      </c>
      <c r="BC18" s="57"/>
      <c r="BD18" s="57"/>
      <c r="BE18" s="57"/>
      <c r="BF18" s="57"/>
      <c r="BG18" s="57">
        <v>184.95</v>
      </c>
      <c r="BH18" s="57"/>
      <c r="BI18" s="57"/>
      <c r="BJ18" s="57"/>
      <c r="BK18" s="57"/>
      <c r="BL18" s="57"/>
      <c r="BM18" s="57"/>
      <c r="BN18" s="57"/>
      <c r="BO18" s="57"/>
      <c r="BP18" s="81">
        <f t="shared" si="6"/>
        <v>365.64839999999998</v>
      </c>
      <c r="BQ18" s="57"/>
      <c r="BR18" s="82"/>
      <c r="BS18" s="83">
        <f t="shared" si="7"/>
        <v>365.64839999999998</v>
      </c>
      <c r="BT18" s="83">
        <v>304.2</v>
      </c>
      <c r="BU18" s="57">
        <v>304.2</v>
      </c>
      <c r="BV18" s="132">
        <v>1690</v>
      </c>
      <c r="BW18" s="57"/>
      <c r="BX18" s="57"/>
      <c r="BY18" s="82"/>
      <c r="BZ18" s="57"/>
      <c r="CA18" s="57"/>
      <c r="CB18" s="57"/>
      <c r="CC18" s="82"/>
      <c r="CD18" s="82"/>
      <c r="CE18" s="82"/>
      <c r="CF18" s="82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84"/>
      <c r="CW18" s="84"/>
      <c r="CX18" s="57"/>
      <c r="CY18" s="57"/>
      <c r="CZ18" s="57"/>
      <c r="DA18" s="57"/>
      <c r="DB18" s="57"/>
      <c r="DC18" s="57"/>
      <c r="DD18" s="57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129"/>
      <c r="EC18" s="88">
        <f>22.45-0.72</f>
        <v>21.73</v>
      </c>
      <c r="ED18" s="88"/>
      <c r="EE18" s="65"/>
      <c r="EF18" s="65"/>
      <c r="EG18" s="88"/>
      <c r="EH18" s="88">
        <v>1438</v>
      </c>
      <c r="EI18" s="88"/>
      <c r="EJ18" s="66"/>
      <c r="EK18" s="66"/>
      <c r="EL18" s="66">
        <f t="shared" si="9"/>
        <v>1437.6000000000001</v>
      </c>
      <c r="EM18" s="66"/>
      <c r="EN18" s="67">
        <f t="shared" si="15"/>
        <v>31247.74</v>
      </c>
      <c r="EO18" s="67"/>
      <c r="EP18" s="68">
        <f t="shared" si="10"/>
        <v>0</v>
      </c>
      <c r="EQ18" s="68"/>
      <c r="ER18" s="69">
        <f t="shared" si="17"/>
        <v>0</v>
      </c>
      <c r="ES18" s="88">
        <v>6015.26</v>
      </c>
      <c r="ET18" s="71">
        <f t="shared" si="18"/>
        <v>-6015.26</v>
      </c>
      <c r="EU18" s="71">
        <f t="shared" si="16"/>
        <v>-1364.0045351473923</v>
      </c>
    </row>
    <row r="19" spans="1:151">
      <c r="A19" s="47">
        <v>12</v>
      </c>
      <c r="B19" s="130" t="s">
        <v>148</v>
      </c>
      <c r="C19" s="130" t="s">
        <v>156</v>
      </c>
      <c r="D19" s="74" t="s">
        <v>149</v>
      </c>
      <c r="E19" s="116" t="s">
        <v>150</v>
      </c>
      <c r="F19" s="80">
        <v>1974</v>
      </c>
      <c r="G19" s="57">
        <v>5</v>
      </c>
      <c r="H19" s="57">
        <v>4</v>
      </c>
      <c r="I19" s="117">
        <v>60</v>
      </c>
      <c r="J19" s="117">
        <v>120</v>
      </c>
      <c r="K19" s="117">
        <v>60</v>
      </c>
      <c r="L19" s="53">
        <f>'[1]Анк. 5А'!H64+'[1]Анк. 5А'!I64</f>
        <v>104</v>
      </c>
      <c r="M19" s="80">
        <f>'[1]Анк. 5А'!E67</f>
        <v>2395.4999999999995</v>
      </c>
      <c r="N19" s="80">
        <f>'[1]Анк. 5А'!E68</f>
        <v>299.40000000000003</v>
      </c>
      <c r="O19" s="54">
        <f t="shared" si="12"/>
        <v>2694.8999999999996</v>
      </c>
      <c r="P19" s="119"/>
      <c r="Q19" s="76"/>
      <c r="R19" s="77">
        <f>'[1]Анк. 5А'!F67</f>
        <v>1611.6000000000004</v>
      </c>
      <c r="S19" s="77">
        <f>'[1]Анк. 5А'!F68</f>
        <v>203.10000000000002</v>
      </c>
      <c r="T19" s="57">
        <f t="shared" si="13"/>
        <v>1814.7000000000003</v>
      </c>
      <c r="U19" s="80"/>
      <c r="V19" s="80"/>
      <c r="W19" s="78">
        <f t="shared" si="0"/>
        <v>2694.8999999999996</v>
      </c>
      <c r="X19" s="76">
        <f t="shared" si="1"/>
        <v>1814.7000000000003</v>
      </c>
      <c r="Y19" s="76">
        <f t="shared" si="2"/>
        <v>2694.8999999999996</v>
      </c>
      <c r="Z19" s="76">
        <f t="shared" si="2"/>
        <v>1814.7000000000003</v>
      </c>
      <c r="AA19" s="119"/>
      <c r="AB19" s="119"/>
      <c r="AC19" s="76">
        <f t="shared" ref="AC19:AD35" si="19">Y19</f>
        <v>2694.8999999999996</v>
      </c>
      <c r="AD19" s="57">
        <f t="shared" si="19"/>
        <v>1814.7000000000003</v>
      </c>
      <c r="AE19" s="80"/>
      <c r="AF19" s="80"/>
      <c r="AG19" s="80"/>
      <c r="AH19" s="80"/>
      <c r="AI19" s="80"/>
      <c r="AJ19" s="80"/>
      <c r="AK19" s="57">
        <f t="shared" si="4"/>
        <v>2694.8999999999996</v>
      </c>
      <c r="AL19" s="57">
        <f t="shared" si="4"/>
        <v>1814.7000000000003</v>
      </c>
      <c r="AM19" s="80"/>
      <c r="AN19" s="80"/>
      <c r="AO19" s="80"/>
      <c r="AP19" s="80"/>
      <c r="AQ19" s="79">
        <f t="shared" ref="AQ19:AR35" si="20">Y19</f>
        <v>2694.8999999999996</v>
      </c>
      <c r="AR19" s="79">
        <f t="shared" si="20"/>
        <v>1814.7000000000003</v>
      </c>
      <c r="AS19" s="80">
        <v>960</v>
      </c>
      <c r="AT19" s="80">
        <v>658</v>
      </c>
      <c r="AU19" s="80"/>
      <c r="AV19" s="80"/>
      <c r="AW19" s="80"/>
      <c r="AX19" s="80"/>
      <c r="AY19" s="80">
        <v>21</v>
      </c>
      <c r="AZ19" s="80">
        <v>10029496</v>
      </c>
      <c r="BA19" s="80"/>
      <c r="BB19" s="80"/>
      <c r="BC19" s="80"/>
      <c r="BD19" s="80"/>
      <c r="BE19" s="80"/>
      <c r="BF19" s="80"/>
      <c r="BG19" s="80">
        <v>280</v>
      </c>
      <c r="BH19" s="80"/>
      <c r="BI19" s="80"/>
      <c r="BJ19" s="80"/>
      <c r="BK19" s="57"/>
      <c r="BL19" s="80"/>
      <c r="BM19" s="80"/>
      <c r="BN19" s="80"/>
      <c r="BO19" s="80"/>
      <c r="BP19" s="81">
        <f t="shared" si="6"/>
        <v>658.81619999999998</v>
      </c>
      <c r="BQ19" s="80"/>
      <c r="BR19" s="120"/>
      <c r="BS19" s="83">
        <f t="shared" si="7"/>
        <v>658.81619999999998</v>
      </c>
      <c r="BT19" s="83">
        <v>548.1</v>
      </c>
      <c r="BU19" s="80">
        <v>548.1</v>
      </c>
      <c r="BV19" s="80">
        <v>5257.7</v>
      </c>
      <c r="BW19" s="80"/>
      <c r="BX19" s="80"/>
      <c r="BY19" s="120"/>
      <c r="BZ19" s="86"/>
      <c r="CA19" s="121"/>
      <c r="CB19" s="86"/>
      <c r="CC19" s="120"/>
      <c r="CD19" s="120"/>
      <c r="CE19" s="120"/>
      <c r="CF19" s="120"/>
      <c r="CG19" s="80"/>
      <c r="CH19" s="117"/>
      <c r="CI19" s="80"/>
      <c r="CJ19" s="80"/>
      <c r="CK19" s="80"/>
      <c r="CL19" s="80"/>
      <c r="CM19" s="80"/>
      <c r="CN19" s="80"/>
      <c r="CO19" s="80"/>
      <c r="CP19" s="80"/>
      <c r="CQ19" s="80"/>
      <c r="CR19" s="120"/>
      <c r="CS19" s="80"/>
      <c r="CT19" s="80"/>
      <c r="CU19" s="80"/>
      <c r="CV19" s="86"/>
      <c r="CW19" s="117"/>
      <c r="CX19" s="117"/>
      <c r="CY19" s="80"/>
      <c r="CZ19" s="80"/>
      <c r="DA19" s="80"/>
      <c r="DB19" s="80"/>
      <c r="DC19" s="120"/>
      <c r="DD19" s="120"/>
      <c r="DE19" s="80"/>
      <c r="DF19" s="80"/>
      <c r="DG19" s="80"/>
      <c r="DH19" s="120"/>
      <c r="DI19" s="80"/>
      <c r="DJ19" s="80"/>
      <c r="DK19" s="80"/>
      <c r="DL19" s="80"/>
      <c r="DM19" s="80"/>
      <c r="DN19" s="117"/>
      <c r="DO19" s="80"/>
      <c r="DP19" s="117"/>
      <c r="DQ19" s="117"/>
      <c r="DR19" s="80"/>
      <c r="DS19" s="120"/>
      <c r="DT19" s="120"/>
      <c r="DU19" s="80"/>
      <c r="DV19" s="86"/>
      <c r="DW19" s="80"/>
      <c r="DX19" s="120"/>
      <c r="DY19" s="80"/>
      <c r="DZ19" s="80"/>
      <c r="EA19" s="80"/>
      <c r="EB19" s="122"/>
      <c r="EC19" s="88">
        <f>21.6-0.72</f>
        <v>20.880000000000003</v>
      </c>
      <c r="ED19" s="88"/>
      <c r="EE19" s="65"/>
      <c r="EF19" s="65"/>
      <c r="EG19" s="88"/>
      <c r="EH19" s="88">
        <f>O19</f>
        <v>2694.8999999999996</v>
      </c>
      <c r="EI19" s="88"/>
      <c r="EJ19" s="66"/>
      <c r="EK19" s="66"/>
      <c r="EL19" s="66">
        <f t="shared" si="9"/>
        <v>2694.8999999999996</v>
      </c>
      <c r="EM19" s="66"/>
      <c r="EN19" s="67">
        <f t="shared" si="15"/>
        <v>56269.512000000002</v>
      </c>
      <c r="EO19" s="67"/>
      <c r="EP19" s="68">
        <f t="shared" si="10"/>
        <v>0</v>
      </c>
      <c r="EQ19" s="68"/>
      <c r="ER19" s="69">
        <f t="shared" si="17"/>
        <v>0</v>
      </c>
      <c r="ES19" s="88">
        <v>10163.27</v>
      </c>
      <c r="ET19" s="71">
        <f t="shared" si="18"/>
        <v>-10163.27</v>
      </c>
      <c r="EU19" s="71">
        <f t="shared" si="16"/>
        <v>-2304.5963718820863</v>
      </c>
    </row>
    <row r="20" spans="1:151">
      <c r="A20" s="47">
        <v>13</v>
      </c>
      <c r="B20" s="73" t="s">
        <v>157</v>
      </c>
      <c r="C20" s="73">
        <v>12</v>
      </c>
      <c r="D20" s="74" t="s">
        <v>149</v>
      </c>
      <c r="E20" s="116" t="s">
        <v>150</v>
      </c>
      <c r="F20" s="80">
        <v>1971</v>
      </c>
      <c r="G20" s="57">
        <v>5</v>
      </c>
      <c r="H20" s="57">
        <v>6</v>
      </c>
      <c r="I20" s="117">
        <v>90</v>
      </c>
      <c r="J20" s="117">
        <v>219</v>
      </c>
      <c r="K20" s="117">
        <v>90</v>
      </c>
      <c r="L20" s="133">
        <f>[1]Горьк.12!H95+[1]Горьк.12!I95</f>
        <v>204</v>
      </c>
      <c r="M20" s="80">
        <v>4261.2</v>
      </c>
      <c r="N20" s="80">
        <f>[1]Горьк.12!E99</f>
        <v>149.30000000000001</v>
      </c>
      <c r="O20" s="54">
        <f t="shared" si="12"/>
        <v>4410.5</v>
      </c>
      <c r="P20" s="119"/>
      <c r="Q20" s="119"/>
      <c r="R20" s="77">
        <f>[1]Горьк.12!F98</f>
        <v>2907.3000000000011</v>
      </c>
      <c r="S20" s="77">
        <f>[1]Горьк.12!F99</f>
        <v>105.1</v>
      </c>
      <c r="T20" s="57">
        <f t="shared" si="13"/>
        <v>3012.400000000001</v>
      </c>
      <c r="U20" s="80"/>
      <c r="V20" s="80"/>
      <c r="W20" s="78">
        <f t="shared" si="0"/>
        <v>4410.5</v>
      </c>
      <c r="X20" s="76">
        <f t="shared" si="1"/>
        <v>3012.400000000001</v>
      </c>
      <c r="Y20" s="76">
        <f t="shared" si="2"/>
        <v>4410.5</v>
      </c>
      <c r="Z20" s="76">
        <f t="shared" si="2"/>
        <v>3012.400000000001</v>
      </c>
      <c r="AA20" s="119"/>
      <c r="AB20" s="119"/>
      <c r="AC20" s="76">
        <f t="shared" si="19"/>
        <v>4410.5</v>
      </c>
      <c r="AD20" s="57">
        <f t="shared" si="19"/>
        <v>3012.400000000001</v>
      </c>
      <c r="AE20" s="80"/>
      <c r="AF20" s="80"/>
      <c r="AG20" s="80"/>
      <c r="AH20" s="80"/>
      <c r="AI20" s="80"/>
      <c r="AJ20" s="80"/>
      <c r="AK20" s="57">
        <f t="shared" si="4"/>
        <v>4410.5</v>
      </c>
      <c r="AL20" s="57">
        <f t="shared" si="4"/>
        <v>3012.400000000001</v>
      </c>
      <c r="AM20" s="80"/>
      <c r="AN20" s="80"/>
      <c r="AO20" s="80"/>
      <c r="AP20" s="80"/>
      <c r="AQ20" s="79">
        <f t="shared" si="20"/>
        <v>4410.5</v>
      </c>
      <c r="AR20" s="79">
        <f t="shared" si="20"/>
        <v>3012.400000000001</v>
      </c>
      <c r="AS20" s="80">
        <v>1670</v>
      </c>
      <c r="AT20" s="80">
        <v>1158.8</v>
      </c>
      <c r="AU20" s="80"/>
      <c r="AV20" s="80"/>
      <c r="AW20" s="80"/>
      <c r="AX20" s="80"/>
      <c r="AY20" s="80">
        <v>33</v>
      </c>
      <c r="AZ20" s="80">
        <v>18328358</v>
      </c>
      <c r="BA20" s="80"/>
      <c r="BB20" s="80"/>
      <c r="BC20" s="80"/>
      <c r="BD20" s="80"/>
      <c r="BE20" s="80"/>
      <c r="BF20" s="80"/>
      <c r="BG20" s="80">
        <v>439.8</v>
      </c>
      <c r="BH20" s="80"/>
      <c r="BI20" s="80"/>
      <c r="BJ20" s="80"/>
      <c r="BK20" s="57"/>
      <c r="BL20" s="80"/>
      <c r="BM20" s="80"/>
      <c r="BN20" s="80"/>
      <c r="BO20" s="80"/>
      <c r="BP20" s="81">
        <f t="shared" si="6"/>
        <v>1058.8417999999999</v>
      </c>
      <c r="BQ20" s="80"/>
      <c r="BR20" s="120"/>
      <c r="BS20" s="83">
        <f t="shared" si="7"/>
        <v>1058.8417999999999</v>
      </c>
      <c r="BT20" s="83">
        <v>880.9</v>
      </c>
      <c r="BU20" s="80">
        <v>880.9</v>
      </c>
      <c r="BV20" s="80">
        <v>3305.36</v>
      </c>
      <c r="BW20" s="80"/>
      <c r="BX20" s="80"/>
      <c r="BY20" s="120"/>
      <c r="BZ20" s="86"/>
      <c r="CA20" s="121"/>
      <c r="CB20" s="86"/>
      <c r="CC20" s="120"/>
      <c r="CD20" s="120"/>
      <c r="CE20" s="120"/>
      <c r="CF20" s="120"/>
      <c r="CG20" s="80"/>
      <c r="CH20" s="117"/>
      <c r="CI20" s="80"/>
      <c r="CJ20" s="80"/>
      <c r="CK20" s="80"/>
      <c r="CL20" s="80"/>
      <c r="CM20" s="80"/>
      <c r="CN20" s="80"/>
      <c r="CO20" s="80"/>
      <c r="CP20" s="80"/>
      <c r="CQ20" s="80"/>
      <c r="CR20" s="120"/>
      <c r="CS20" s="80"/>
      <c r="CT20" s="80"/>
      <c r="CU20" s="80"/>
      <c r="CV20" s="86"/>
      <c r="CW20" s="117"/>
      <c r="CX20" s="117"/>
      <c r="CY20" s="80"/>
      <c r="CZ20" s="80"/>
      <c r="DA20" s="80"/>
      <c r="DB20" s="80"/>
      <c r="DC20" s="120"/>
      <c r="DD20" s="120"/>
      <c r="DE20" s="80"/>
      <c r="DF20" s="80"/>
      <c r="DG20" s="80"/>
      <c r="DH20" s="120"/>
      <c r="DI20" s="80"/>
      <c r="DJ20" s="80"/>
      <c r="DK20" s="80"/>
      <c r="DL20" s="80"/>
      <c r="DM20" s="80"/>
      <c r="DN20" s="117"/>
      <c r="DO20" s="80"/>
      <c r="DP20" s="117"/>
      <c r="DQ20" s="117"/>
      <c r="DR20" s="80"/>
      <c r="DS20" s="120"/>
      <c r="DT20" s="120"/>
      <c r="DU20" s="80"/>
      <c r="DV20" s="86"/>
      <c r="DW20" s="80"/>
      <c r="DX20" s="120"/>
      <c r="DY20" s="80"/>
      <c r="DZ20" s="80"/>
      <c r="EA20" s="80"/>
      <c r="EB20" s="122"/>
      <c r="EC20" s="88">
        <f>20-0.72</f>
        <v>19.28</v>
      </c>
      <c r="ED20" s="88"/>
      <c r="EE20" s="65"/>
      <c r="EF20" s="65"/>
      <c r="EG20" s="88"/>
      <c r="EH20" s="88">
        <v>4411.6000000000004</v>
      </c>
      <c r="EI20" s="88"/>
      <c r="EJ20" s="66"/>
      <c r="EK20" s="66"/>
      <c r="EL20" s="66">
        <f t="shared" si="9"/>
        <v>4410.5</v>
      </c>
      <c r="EM20" s="66"/>
      <c r="EN20" s="67">
        <f t="shared" si="15"/>
        <v>85055.648000000016</v>
      </c>
      <c r="EO20" s="67"/>
      <c r="EP20" s="68">
        <f t="shared" si="10"/>
        <v>0</v>
      </c>
      <c r="EQ20" s="68"/>
      <c r="ER20" s="69">
        <f t="shared" si="17"/>
        <v>0</v>
      </c>
      <c r="ES20" s="88">
        <v>20324.5</v>
      </c>
      <c r="ET20" s="71">
        <f t="shared" si="18"/>
        <v>-20324.5</v>
      </c>
      <c r="EU20" s="71">
        <f>ET20/5</f>
        <v>-4064.9</v>
      </c>
    </row>
    <row r="21" spans="1:151">
      <c r="A21" s="47">
        <v>14</v>
      </c>
      <c r="B21" s="90" t="s">
        <v>157</v>
      </c>
      <c r="C21" s="90">
        <v>14</v>
      </c>
      <c r="D21" s="91" t="s">
        <v>149</v>
      </c>
      <c r="E21" s="92" t="s">
        <v>150</v>
      </c>
      <c r="F21" s="93">
        <v>1969</v>
      </c>
      <c r="G21" s="93">
        <v>5</v>
      </c>
      <c r="H21" s="93">
        <v>6</v>
      </c>
      <c r="I21" s="94">
        <v>90</v>
      </c>
      <c r="J21" s="94">
        <v>220</v>
      </c>
      <c r="K21" s="94">
        <v>91</v>
      </c>
      <c r="L21" s="95">
        <f>[1]Горьк.14!H98+[1]Горьк.14!I98</f>
        <v>194</v>
      </c>
      <c r="M21" s="93">
        <v>3998.2</v>
      </c>
      <c r="N21" s="93">
        <f>[1]Горьк.14!E102</f>
        <v>343.6</v>
      </c>
      <c r="O21" s="96">
        <f t="shared" si="12"/>
        <v>4341.8</v>
      </c>
      <c r="P21" s="93"/>
      <c r="Q21" s="93"/>
      <c r="R21" s="97">
        <f>[1]Горьк.14!F101</f>
        <v>2744.3000000000006</v>
      </c>
      <c r="S21" s="97">
        <f>[1]Горьк.14!F102</f>
        <v>238.20000000000002</v>
      </c>
      <c r="T21" s="93">
        <f t="shared" si="13"/>
        <v>2982.5000000000005</v>
      </c>
      <c r="U21" s="93"/>
      <c r="V21" s="93"/>
      <c r="W21" s="99">
        <f t="shared" si="0"/>
        <v>4341.8</v>
      </c>
      <c r="X21" s="93">
        <f t="shared" si="1"/>
        <v>2982.5000000000005</v>
      </c>
      <c r="Y21" s="93">
        <f t="shared" si="2"/>
        <v>4341.8</v>
      </c>
      <c r="Z21" s="93">
        <f t="shared" si="2"/>
        <v>2982.5000000000005</v>
      </c>
      <c r="AA21" s="93"/>
      <c r="AB21" s="93"/>
      <c r="AC21" s="93">
        <f t="shared" si="19"/>
        <v>4341.8</v>
      </c>
      <c r="AD21" s="93">
        <f t="shared" si="19"/>
        <v>2982.5000000000005</v>
      </c>
      <c r="AE21" s="93"/>
      <c r="AF21" s="93"/>
      <c r="AG21" s="93"/>
      <c r="AH21" s="93"/>
      <c r="AI21" s="93"/>
      <c r="AJ21" s="93"/>
      <c r="AK21" s="93">
        <f t="shared" si="4"/>
        <v>4341.8</v>
      </c>
      <c r="AL21" s="93">
        <f t="shared" si="4"/>
        <v>2982.5000000000005</v>
      </c>
      <c r="AM21" s="93"/>
      <c r="AN21" s="93"/>
      <c r="AO21" s="93"/>
      <c r="AP21" s="93"/>
      <c r="AQ21" s="100">
        <f t="shared" si="20"/>
        <v>4341.8</v>
      </c>
      <c r="AR21" s="100">
        <f t="shared" si="20"/>
        <v>2982.5000000000005</v>
      </c>
      <c r="AS21" s="93">
        <v>1408</v>
      </c>
      <c r="AT21" s="93">
        <v>979.5</v>
      </c>
      <c r="AU21" s="93"/>
      <c r="AV21" s="93"/>
      <c r="AW21" s="93"/>
      <c r="AX21" s="93"/>
      <c r="AY21" s="93">
        <v>28</v>
      </c>
      <c r="AZ21" s="93">
        <v>19491506</v>
      </c>
      <c r="BA21" s="93"/>
      <c r="BB21" s="93"/>
      <c r="BC21" s="93"/>
      <c r="BD21" s="93"/>
      <c r="BE21" s="93"/>
      <c r="BF21" s="93"/>
      <c r="BG21" s="93">
        <v>477.6</v>
      </c>
      <c r="BH21" s="93"/>
      <c r="BI21" s="93"/>
      <c r="BJ21" s="93"/>
      <c r="BK21" s="93"/>
      <c r="BL21" s="93"/>
      <c r="BM21" s="93"/>
      <c r="BN21" s="93"/>
      <c r="BO21" s="93"/>
      <c r="BP21" s="101">
        <f t="shared" si="6"/>
        <v>1069.1789999999999</v>
      </c>
      <c r="BQ21" s="93"/>
      <c r="BR21" s="102"/>
      <c r="BS21" s="103">
        <f t="shared" si="7"/>
        <v>1069.1789999999999</v>
      </c>
      <c r="BT21" s="102">
        <v>889.5</v>
      </c>
      <c r="BU21" s="93">
        <v>889.5</v>
      </c>
      <c r="BV21" s="93">
        <v>3577.85</v>
      </c>
      <c r="BW21" s="93"/>
      <c r="BX21" s="93"/>
      <c r="BY21" s="102"/>
      <c r="BZ21" s="93"/>
      <c r="CA21" s="93"/>
      <c r="CB21" s="93"/>
      <c r="CC21" s="102"/>
      <c r="CD21" s="102"/>
      <c r="CE21" s="102"/>
      <c r="CF21" s="102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104"/>
      <c r="CW21" s="104"/>
      <c r="CX21" s="93"/>
      <c r="CY21" s="93"/>
      <c r="CZ21" s="93"/>
      <c r="DA21" s="93"/>
      <c r="DB21" s="93"/>
      <c r="DC21" s="93"/>
      <c r="DD21" s="93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5"/>
      <c r="EC21" s="95">
        <f>21.6-0.72</f>
        <v>20.880000000000003</v>
      </c>
      <c r="ED21" s="95"/>
      <c r="EE21" s="106"/>
      <c r="EF21" s="106"/>
      <c r="EG21" s="95"/>
      <c r="EH21" s="95">
        <f t="shared" ref="EH21:EH32" si="21">O21</f>
        <v>4341.8</v>
      </c>
      <c r="EI21" s="95"/>
      <c r="EJ21" s="107"/>
      <c r="EK21" s="107"/>
      <c r="EL21" s="107">
        <f t="shared" si="9"/>
        <v>4341.8</v>
      </c>
      <c r="EM21" s="107"/>
      <c r="EN21" s="108">
        <f t="shared" si="15"/>
        <v>90656.784000000014</v>
      </c>
      <c r="EO21" s="108"/>
      <c r="EP21" s="109">
        <f t="shared" si="10"/>
        <v>0</v>
      </c>
      <c r="EQ21" s="109"/>
      <c r="ER21" s="109">
        <f t="shared" si="17"/>
        <v>0</v>
      </c>
      <c r="ES21" s="95">
        <v>15536.07</v>
      </c>
      <c r="ET21" s="110">
        <f t="shared" si="18"/>
        <v>-15536.07</v>
      </c>
      <c r="EU21" s="110">
        <f t="shared" si="16"/>
        <v>-3522.9183673469388</v>
      </c>
    </row>
    <row r="22" spans="1:151">
      <c r="A22" s="47">
        <v>15</v>
      </c>
      <c r="B22" s="90" t="s">
        <v>157</v>
      </c>
      <c r="C22" s="90">
        <v>16</v>
      </c>
      <c r="D22" s="91" t="s">
        <v>149</v>
      </c>
      <c r="E22" s="92" t="s">
        <v>150</v>
      </c>
      <c r="F22" s="112">
        <v>1969</v>
      </c>
      <c r="G22" s="93">
        <v>5</v>
      </c>
      <c r="H22" s="93">
        <v>4</v>
      </c>
      <c r="I22" s="124">
        <v>59</v>
      </c>
      <c r="J22" s="124">
        <v>117</v>
      </c>
      <c r="K22" s="124">
        <v>59</v>
      </c>
      <c r="L22" s="95">
        <f>[1]Горьк.16!H65+[1]Горьк.16!I65</f>
        <v>99</v>
      </c>
      <c r="M22" s="112">
        <v>2488.6</v>
      </c>
      <c r="N22" s="112">
        <v>148.5</v>
      </c>
      <c r="O22" s="96">
        <f t="shared" si="12"/>
        <v>2637.1</v>
      </c>
      <c r="P22" s="112"/>
      <c r="Q22" s="112"/>
      <c r="R22" s="97">
        <v>1681.5</v>
      </c>
      <c r="S22" s="97">
        <v>92.3</v>
      </c>
      <c r="T22" s="93">
        <f t="shared" si="13"/>
        <v>1773.8</v>
      </c>
      <c r="U22" s="112"/>
      <c r="V22" s="112"/>
      <c r="W22" s="99">
        <f t="shared" si="0"/>
        <v>2637.1</v>
      </c>
      <c r="X22" s="93">
        <f t="shared" si="1"/>
        <v>1773.8</v>
      </c>
      <c r="Y22" s="93">
        <f t="shared" si="2"/>
        <v>2637.1</v>
      </c>
      <c r="Z22" s="93">
        <f t="shared" si="2"/>
        <v>1773.8</v>
      </c>
      <c r="AA22" s="112"/>
      <c r="AB22" s="112"/>
      <c r="AC22" s="93">
        <f t="shared" si="19"/>
        <v>2637.1</v>
      </c>
      <c r="AD22" s="93">
        <f t="shared" si="19"/>
        <v>1773.8</v>
      </c>
      <c r="AE22" s="112"/>
      <c r="AF22" s="112"/>
      <c r="AG22" s="112"/>
      <c r="AH22" s="112"/>
      <c r="AI22" s="112"/>
      <c r="AJ22" s="112"/>
      <c r="AK22" s="93">
        <f t="shared" si="4"/>
        <v>2637.1</v>
      </c>
      <c r="AL22" s="93">
        <f t="shared" si="4"/>
        <v>1773.8</v>
      </c>
      <c r="AM22" s="112"/>
      <c r="AN22" s="112"/>
      <c r="AO22" s="112"/>
      <c r="AP22" s="112"/>
      <c r="AQ22" s="100">
        <f t="shared" si="20"/>
        <v>2637.1</v>
      </c>
      <c r="AR22" s="100">
        <f t="shared" si="20"/>
        <v>1773.8</v>
      </c>
      <c r="AS22" s="112"/>
      <c r="AT22" s="112"/>
      <c r="AU22" s="112"/>
      <c r="AV22" s="112"/>
      <c r="AW22" s="112"/>
      <c r="AX22" s="112"/>
      <c r="AY22" s="112"/>
      <c r="AZ22" s="112">
        <v>10493882</v>
      </c>
      <c r="BA22" s="112"/>
      <c r="BB22" s="112">
        <v>61.1</v>
      </c>
      <c r="BC22" s="112"/>
      <c r="BD22" s="112"/>
      <c r="BE22" s="112"/>
      <c r="BF22" s="112"/>
      <c r="BG22" s="112">
        <v>320</v>
      </c>
      <c r="BH22" s="112"/>
      <c r="BI22" s="112"/>
      <c r="BJ22" s="112"/>
      <c r="BK22" s="93"/>
      <c r="BL22" s="112"/>
      <c r="BM22" s="112"/>
      <c r="BN22" s="112"/>
      <c r="BO22" s="112"/>
      <c r="BP22" s="101">
        <f t="shared" si="6"/>
        <v>657.49400000000003</v>
      </c>
      <c r="BQ22" s="112"/>
      <c r="BR22" s="125"/>
      <c r="BS22" s="103">
        <f t="shared" si="7"/>
        <v>657.49400000000003</v>
      </c>
      <c r="BT22" s="125">
        <v>547</v>
      </c>
      <c r="BU22" s="112">
        <v>547</v>
      </c>
      <c r="BV22" s="112">
        <v>2524.3000000000002</v>
      </c>
      <c r="BW22" s="112"/>
      <c r="BX22" s="112"/>
      <c r="BY22" s="125"/>
      <c r="BZ22" s="114"/>
      <c r="CA22" s="127"/>
      <c r="CB22" s="114"/>
      <c r="CC22" s="125"/>
      <c r="CD22" s="125"/>
      <c r="CE22" s="125"/>
      <c r="CF22" s="125"/>
      <c r="CG22" s="112"/>
      <c r="CH22" s="124"/>
      <c r="CI22" s="112"/>
      <c r="CJ22" s="112"/>
      <c r="CK22" s="112"/>
      <c r="CL22" s="112"/>
      <c r="CM22" s="112"/>
      <c r="CN22" s="112"/>
      <c r="CO22" s="112"/>
      <c r="CP22" s="112"/>
      <c r="CQ22" s="112"/>
      <c r="CR22" s="125"/>
      <c r="CS22" s="112"/>
      <c r="CT22" s="112"/>
      <c r="CU22" s="112"/>
      <c r="CV22" s="114"/>
      <c r="CW22" s="124"/>
      <c r="CX22" s="124"/>
      <c r="CY22" s="112"/>
      <c r="CZ22" s="112"/>
      <c r="DA22" s="112"/>
      <c r="DB22" s="112"/>
      <c r="DC22" s="125"/>
      <c r="DD22" s="125"/>
      <c r="DE22" s="112"/>
      <c r="DF22" s="112"/>
      <c r="DG22" s="112"/>
      <c r="DH22" s="125"/>
      <c r="DI22" s="112"/>
      <c r="DJ22" s="112"/>
      <c r="DK22" s="112"/>
      <c r="DL22" s="112"/>
      <c r="DM22" s="112"/>
      <c r="DN22" s="124"/>
      <c r="DO22" s="112"/>
      <c r="DP22" s="124"/>
      <c r="DQ22" s="124"/>
      <c r="DR22" s="112"/>
      <c r="DS22" s="125"/>
      <c r="DT22" s="125"/>
      <c r="DU22" s="112"/>
      <c r="DV22" s="114"/>
      <c r="DW22" s="112"/>
      <c r="DX22" s="125"/>
      <c r="DY22" s="112"/>
      <c r="DZ22" s="112"/>
      <c r="EA22" s="112"/>
      <c r="EB22" s="128"/>
      <c r="EC22" s="95">
        <f>21.6-0.72</f>
        <v>20.880000000000003</v>
      </c>
      <c r="ED22" s="95"/>
      <c r="EE22" s="106"/>
      <c r="EF22" s="106"/>
      <c r="EG22" s="95"/>
      <c r="EH22" s="95">
        <f t="shared" si="21"/>
        <v>2637.1</v>
      </c>
      <c r="EI22" s="95"/>
      <c r="EJ22" s="107"/>
      <c r="EK22" s="107"/>
      <c r="EL22" s="107">
        <f t="shared" si="9"/>
        <v>2637.1</v>
      </c>
      <c r="EM22" s="107"/>
      <c r="EN22" s="108">
        <f t="shared" si="15"/>
        <v>55062.648000000008</v>
      </c>
      <c r="EO22" s="108"/>
      <c r="EP22" s="109">
        <f t="shared" si="10"/>
        <v>0</v>
      </c>
      <c r="EQ22" s="109"/>
      <c r="ER22" s="109">
        <f t="shared" si="17"/>
        <v>0</v>
      </c>
      <c r="ES22" s="95">
        <v>10513.85</v>
      </c>
      <c r="ET22" s="110">
        <f t="shared" si="18"/>
        <v>-10513.85</v>
      </c>
      <c r="EU22" s="110">
        <f t="shared" si="16"/>
        <v>-2384.0929705215422</v>
      </c>
    </row>
    <row r="23" spans="1:151">
      <c r="A23" s="47">
        <v>16</v>
      </c>
      <c r="B23" s="90" t="s">
        <v>157</v>
      </c>
      <c r="C23" s="90">
        <v>18</v>
      </c>
      <c r="D23" s="91" t="s">
        <v>149</v>
      </c>
      <c r="E23" s="92" t="s">
        <v>150</v>
      </c>
      <c r="F23" s="93">
        <v>1969</v>
      </c>
      <c r="G23" s="93">
        <v>5</v>
      </c>
      <c r="H23" s="93">
        <v>6</v>
      </c>
      <c r="I23" s="94">
        <v>90</v>
      </c>
      <c r="J23" s="94">
        <v>219</v>
      </c>
      <c r="K23" s="94">
        <v>93</v>
      </c>
      <c r="L23" s="95">
        <f>[1]Горьк.18!H101+[1]Горьк.18!I101</f>
        <v>222</v>
      </c>
      <c r="M23" s="93">
        <v>3890.05</v>
      </c>
      <c r="N23" s="93">
        <v>511.15</v>
      </c>
      <c r="O23" s="96">
        <f t="shared" si="12"/>
        <v>4401.2</v>
      </c>
      <c r="P23" s="93"/>
      <c r="Q23" s="93"/>
      <c r="R23" s="97">
        <v>2664.7</v>
      </c>
      <c r="S23" s="97">
        <v>352.3</v>
      </c>
      <c r="T23" s="93">
        <f t="shared" si="13"/>
        <v>3017</v>
      </c>
      <c r="U23" s="93"/>
      <c r="V23" s="93"/>
      <c r="W23" s="99">
        <f t="shared" si="0"/>
        <v>4401.2</v>
      </c>
      <c r="X23" s="93">
        <f t="shared" si="1"/>
        <v>3017</v>
      </c>
      <c r="Y23" s="93">
        <f t="shared" si="2"/>
        <v>4401.2</v>
      </c>
      <c r="Z23" s="93">
        <f t="shared" si="2"/>
        <v>3017</v>
      </c>
      <c r="AA23" s="93"/>
      <c r="AB23" s="93"/>
      <c r="AC23" s="93">
        <f t="shared" si="19"/>
        <v>4401.2</v>
      </c>
      <c r="AD23" s="93">
        <f t="shared" si="19"/>
        <v>3017</v>
      </c>
      <c r="AE23" s="93"/>
      <c r="AF23" s="93"/>
      <c r="AG23" s="93"/>
      <c r="AH23" s="93"/>
      <c r="AI23" s="93"/>
      <c r="AJ23" s="93"/>
      <c r="AK23" s="93">
        <f t="shared" si="4"/>
        <v>4401.2</v>
      </c>
      <c r="AL23" s="93">
        <f t="shared" si="4"/>
        <v>3017</v>
      </c>
      <c r="AM23" s="93"/>
      <c r="AN23" s="93"/>
      <c r="AO23" s="93"/>
      <c r="AP23" s="93"/>
      <c r="AQ23" s="100">
        <f t="shared" si="20"/>
        <v>4401.2</v>
      </c>
      <c r="AR23" s="100">
        <f t="shared" si="20"/>
        <v>3017</v>
      </c>
      <c r="AS23" s="93">
        <v>1421.2</v>
      </c>
      <c r="AT23" s="93">
        <v>983.9</v>
      </c>
      <c r="AU23" s="93"/>
      <c r="AV23" s="93"/>
      <c r="AW23" s="93"/>
      <c r="AX23" s="93"/>
      <c r="AY23" s="93">
        <v>28</v>
      </c>
      <c r="AZ23" s="93">
        <v>18367675</v>
      </c>
      <c r="BA23" s="93"/>
      <c r="BB23" s="93"/>
      <c r="BC23" s="93"/>
      <c r="BD23" s="93"/>
      <c r="BE23" s="93"/>
      <c r="BF23" s="93"/>
      <c r="BG23" s="93">
        <v>446.3</v>
      </c>
      <c r="BH23" s="93"/>
      <c r="BI23" s="93"/>
      <c r="BJ23" s="93"/>
      <c r="BK23" s="93"/>
      <c r="BL23" s="93"/>
      <c r="BM23" s="93"/>
      <c r="BN23" s="93"/>
      <c r="BO23" s="93"/>
      <c r="BP23" s="101">
        <f t="shared" si="6"/>
        <v>1069.1789999999999</v>
      </c>
      <c r="BQ23" s="134">
        <f>BP23</f>
        <v>1069.1789999999999</v>
      </c>
      <c r="BR23" s="102"/>
      <c r="BS23" s="103"/>
      <c r="BT23" s="101">
        <v>889.5</v>
      </c>
      <c r="BU23" s="93">
        <v>889.5</v>
      </c>
      <c r="BV23" s="93">
        <v>3731.7</v>
      </c>
      <c r="BW23" s="93"/>
      <c r="BX23" s="93"/>
      <c r="BY23" s="102"/>
      <c r="BZ23" s="93"/>
      <c r="CA23" s="93"/>
      <c r="CB23" s="93"/>
      <c r="CC23" s="102"/>
      <c r="CD23" s="102"/>
      <c r="CE23" s="102"/>
      <c r="CF23" s="102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104"/>
      <c r="CW23" s="104"/>
      <c r="CX23" s="93"/>
      <c r="CY23" s="93"/>
      <c r="CZ23" s="93"/>
      <c r="DA23" s="93"/>
      <c r="DB23" s="93"/>
      <c r="DC23" s="93"/>
      <c r="DD23" s="93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5"/>
      <c r="EC23" s="95">
        <f>21.6-0.72</f>
        <v>20.880000000000003</v>
      </c>
      <c r="ED23" s="95"/>
      <c r="EE23" s="106"/>
      <c r="EF23" s="106"/>
      <c r="EG23" s="95"/>
      <c r="EH23" s="95">
        <f t="shared" si="21"/>
        <v>4401.2</v>
      </c>
      <c r="EI23" s="95"/>
      <c r="EJ23" s="107"/>
      <c r="EK23" s="107"/>
      <c r="EL23" s="107">
        <f t="shared" si="9"/>
        <v>4401.2</v>
      </c>
      <c r="EM23" s="107"/>
      <c r="EN23" s="108">
        <f>(EH23-EJ23)*EC23</f>
        <v>91897.056000000011</v>
      </c>
      <c r="EO23" s="108"/>
      <c r="EP23" s="109">
        <f t="shared" si="10"/>
        <v>0</v>
      </c>
      <c r="EQ23" s="109">
        <f>EF23*27.5</f>
        <v>0</v>
      </c>
      <c r="ER23" s="109">
        <f>(M23-40.6) *4.41</f>
        <v>16976.074500000002</v>
      </c>
      <c r="ES23" s="95">
        <v>15347.96</v>
      </c>
      <c r="ET23" s="110">
        <f t="shared" si="18"/>
        <v>1628.1145000000033</v>
      </c>
      <c r="EU23" s="110">
        <f t="shared" si="16"/>
        <v>369.1869614512479</v>
      </c>
    </row>
    <row r="24" spans="1:151">
      <c r="A24" s="47">
        <v>17</v>
      </c>
      <c r="B24" s="90" t="s">
        <v>157</v>
      </c>
      <c r="C24" s="90">
        <v>20</v>
      </c>
      <c r="D24" s="91" t="s">
        <v>149</v>
      </c>
      <c r="E24" s="92" t="s">
        <v>150</v>
      </c>
      <c r="F24" s="93">
        <v>1968</v>
      </c>
      <c r="G24" s="93">
        <v>5</v>
      </c>
      <c r="H24" s="93">
        <v>6</v>
      </c>
      <c r="I24" s="94">
        <v>89</v>
      </c>
      <c r="J24" s="94">
        <v>216</v>
      </c>
      <c r="K24" s="94">
        <v>89</v>
      </c>
      <c r="L24" s="95">
        <f>[1]Горьк.20!H95+[1]Горьк.20!I95</f>
        <v>201</v>
      </c>
      <c r="M24" s="93">
        <f>[1]Горьк.20!E98</f>
        <v>4017.599999999999</v>
      </c>
      <c r="N24" s="93">
        <f>[1]Горьк.20!E99</f>
        <v>345.70000000000005</v>
      </c>
      <c r="O24" s="96">
        <f t="shared" si="12"/>
        <v>4363.2999999999993</v>
      </c>
      <c r="P24" s="93"/>
      <c r="Q24" s="93">
        <f>44.2-44.2</f>
        <v>0</v>
      </c>
      <c r="R24" s="97">
        <f>[1]Горьк.20!F98</f>
        <v>2804.6</v>
      </c>
      <c r="S24" s="97">
        <f>[1]Горьк.20!F99</f>
        <v>240.7</v>
      </c>
      <c r="T24" s="93">
        <f t="shared" si="13"/>
        <v>3045.2999999999997</v>
      </c>
      <c r="U24" s="93"/>
      <c r="V24" s="93">
        <f>29.9-29.9</f>
        <v>0</v>
      </c>
      <c r="W24" s="99">
        <f t="shared" si="0"/>
        <v>4363.2999999999993</v>
      </c>
      <c r="X24" s="93">
        <f t="shared" si="1"/>
        <v>3045.2999999999997</v>
      </c>
      <c r="Y24" s="93">
        <f t="shared" si="2"/>
        <v>4363.2999999999993</v>
      </c>
      <c r="Z24" s="93">
        <f t="shared" si="2"/>
        <v>3045.2999999999997</v>
      </c>
      <c r="AA24" s="93"/>
      <c r="AB24" s="93"/>
      <c r="AC24" s="93">
        <f t="shared" si="19"/>
        <v>4363.2999999999993</v>
      </c>
      <c r="AD24" s="93">
        <f t="shared" si="19"/>
        <v>3045.2999999999997</v>
      </c>
      <c r="AE24" s="93"/>
      <c r="AF24" s="93"/>
      <c r="AG24" s="93"/>
      <c r="AH24" s="93"/>
      <c r="AI24" s="93"/>
      <c r="AJ24" s="93"/>
      <c r="AK24" s="93">
        <f t="shared" si="4"/>
        <v>4363.2999999999993</v>
      </c>
      <c r="AL24" s="93">
        <f t="shared" si="4"/>
        <v>3045.2999999999997</v>
      </c>
      <c r="AM24" s="93"/>
      <c r="AN24" s="93"/>
      <c r="AO24" s="93"/>
      <c r="AP24" s="93"/>
      <c r="AQ24" s="100">
        <f t="shared" si="20"/>
        <v>4363.2999999999993</v>
      </c>
      <c r="AR24" s="100">
        <f t="shared" si="20"/>
        <v>3045.2999999999997</v>
      </c>
      <c r="AS24" s="93"/>
      <c r="AT24" s="93"/>
      <c r="AU24" s="93"/>
      <c r="AV24" s="93"/>
      <c r="AW24" s="93"/>
      <c r="AX24" s="93"/>
      <c r="AY24" s="93"/>
      <c r="AZ24" s="93">
        <v>11998173</v>
      </c>
      <c r="BA24" s="93"/>
      <c r="BB24" s="93">
        <v>44.1</v>
      </c>
      <c r="BC24" s="93"/>
      <c r="BD24" s="93"/>
      <c r="BE24" s="93"/>
      <c r="BF24" s="93"/>
      <c r="BG24" s="93">
        <v>442.8</v>
      </c>
      <c r="BH24" s="93"/>
      <c r="BI24" s="93"/>
      <c r="BJ24" s="93"/>
      <c r="BK24" s="112"/>
      <c r="BL24" s="93"/>
      <c r="BM24" s="93"/>
      <c r="BN24" s="93"/>
      <c r="BO24" s="93"/>
      <c r="BP24" s="101">
        <f t="shared" si="6"/>
        <v>1065.5729999999999</v>
      </c>
      <c r="BQ24" s="93"/>
      <c r="BR24" s="102"/>
      <c r="BS24" s="103">
        <f>BP24</f>
        <v>1065.5729999999999</v>
      </c>
      <c r="BT24" s="101">
        <v>886.5</v>
      </c>
      <c r="BU24" s="93">
        <v>886.5</v>
      </c>
      <c r="BV24" s="93">
        <v>4080.7</v>
      </c>
      <c r="BW24" s="93"/>
      <c r="BX24" s="93"/>
      <c r="BY24" s="102"/>
      <c r="BZ24" s="104"/>
      <c r="CA24" s="104"/>
      <c r="CB24" s="104"/>
      <c r="CC24" s="113"/>
      <c r="CD24" s="113"/>
      <c r="CE24" s="113"/>
      <c r="CF24" s="113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4"/>
      <c r="CW24" s="114"/>
      <c r="CX24" s="112"/>
      <c r="CY24" s="112"/>
      <c r="CZ24" s="112"/>
      <c r="DA24" s="112"/>
      <c r="DB24" s="112"/>
      <c r="DC24" s="112"/>
      <c r="DD24" s="112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5"/>
      <c r="EC24" s="95">
        <f>21.6-0.72</f>
        <v>20.880000000000003</v>
      </c>
      <c r="ED24" s="95"/>
      <c r="EE24" s="106"/>
      <c r="EF24" s="106"/>
      <c r="EG24" s="95"/>
      <c r="EH24" s="95">
        <f t="shared" si="21"/>
        <v>4363.2999999999993</v>
      </c>
      <c r="EI24" s="95"/>
      <c r="EJ24" s="107"/>
      <c r="EK24" s="107"/>
      <c r="EL24" s="107">
        <f t="shared" si="9"/>
        <v>4363.2999999999993</v>
      </c>
      <c r="EM24" s="107"/>
      <c r="EN24" s="108">
        <f t="shared" si="15"/>
        <v>91105.703999999998</v>
      </c>
      <c r="EO24" s="108"/>
      <c r="EP24" s="109">
        <f t="shared" si="10"/>
        <v>0</v>
      </c>
      <c r="EQ24" s="109"/>
      <c r="ER24" s="109">
        <f>M24*EE24</f>
        <v>0</v>
      </c>
      <c r="ES24" s="95">
        <v>17516.09</v>
      </c>
      <c r="ET24" s="110">
        <f t="shared" si="18"/>
        <v>-17516.09</v>
      </c>
      <c r="EU24" s="110">
        <f t="shared" si="16"/>
        <v>-3971.9024943310656</v>
      </c>
    </row>
    <row r="25" spans="1:151">
      <c r="A25" s="47">
        <v>18</v>
      </c>
      <c r="B25" s="90" t="s">
        <v>157</v>
      </c>
      <c r="C25" s="90">
        <v>22</v>
      </c>
      <c r="D25" s="91" t="s">
        <v>149</v>
      </c>
      <c r="E25" s="92" t="s">
        <v>150</v>
      </c>
      <c r="F25" s="112">
        <v>1968</v>
      </c>
      <c r="G25" s="93">
        <v>5</v>
      </c>
      <c r="H25" s="93">
        <v>4</v>
      </c>
      <c r="I25" s="124">
        <v>60</v>
      </c>
      <c r="J25" s="124">
        <v>120</v>
      </c>
      <c r="K25" s="124">
        <v>60</v>
      </c>
      <c r="L25" s="95">
        <f>[1]Горьк.22!H67+[1]Горьк.22!I67</f>
        <v>130</v>
      </c>
      <c r="M25" s="112">
        <v>2555.1999999999998</v>
      </c>
      <c r="N25" s="112">
        <v>166.4</v>
      </c>
      <c r="O25" s="96">
        <f t="shared" si="12"/>
        <v>2721.6</v>
      </c>
      <c r="P25" s="112"/>
      <c r="Q25" s="112"/>
      <c r="R25" s="97">
        <v>1721.3</v>
      </c>
      <c r="S25" s="97">
        <v>110.2</v>
      </c>
      <c r="T25" s="93">
        <f t="shared" si="13"/>
        <v>1831.5</v>
      </c>
      <c r="U25" s="112"/>
      <c r="V25" s="112"/>
      <c r="W25" s="99">
        <f t="shared" si="0"/>
        <v>2721.6</v>
      </c>
      <c r="X25" s="93">
        <f t="shared" si="1"/>
        <v>1831.5</v>
      </c>
      <c r="Y25" s="93">
        <f t="shared" si="2"/>
        <v>2721.6</v>
      </c>
      <c r="Z25" s="93">
        <f t="shared" si="2"/>
        <v>1831.5</v>
      </c>
      <c r="AA25" s="112"/>
      <c r="AB25" s="112"/>
      <c r="AC25" s="93">
        <f t="shared" si="19"/>
        <v>2721.6</v>
      </c>
      <c r="AD25" s="93">
        <f t="shared" si="19"/>
        <v>1831.5</v>
      </c>
      <c r="AE25" s="112"/>
      <c r="AF25" s="112"/>
      <c r="AG25" s="112"/>
      <c r="AH25" s="112"/>
      <c r="AI25" s="112"/>
      <c r="AJ25" s="112"/>
      <c r="AK25" s="93">
        <f t="shared" si="4"/>
        <v>2721.6</v>
      </c>
      <c r="AL25" s="93">
        <f t="shared" si="4"/>
        <v>1831.5</v>
      </c>
      <c r="AM25" s="112"/>
      <c r="AN25" s="112"/>
      <c r="AO25" s="112"/>
      <c r="AP25" s="112"/>
      <c r="AQ25" s="100">
        <f t="shared" si="20"/>
        <v>2721.6</v>
      </c>
      <c r="AR25" s="100">
        <f t="shared" si="20"/>
        <v>1831.5</v>
      </c>
      <c r="AS25" s="112">
        <v>865</v>
      </c>
      <c r="AT25" s="112">
        <v>594.6</v>
      </c>
      <c r="AU25" s="112"/>
      <c r="AV25" s="112"/>
      <c r="AW25" s="112"/>
      <c r="AX25" s="112"/>
      <c r="AY25" s="112">
        <v>18</v>
      </c>
      <c r="AZ25" s="112">
        <v>8232044</v>
      </c>
      <c r="BA25" s="112"/>
      <c r="BB25" s="112"/>
      <c r="BC25" s="112"/>
      <c r="BD25" s="112"/>
      <c r="BE25" s="112"/>
      <c r="BF25" s="112"/>
      <c r="BG25" s="112">
        <v>280</v>
      </c>
      <c r="BH25" s="112"/>
      <c r="BI25" s="112"/>
      <c r="BJ25" s="112"/>
      <c r="BK25" s="93"/>
      <c r="BL25" s="112"/>
      <c r="BM25" s="112"/>
      <c r="BN25" s="112"/>
      <c r="BO25" s="112"/>
      <c r="BP25" s="101">
        <f t="shared" si="6"/>
        <v>659.53740000000005</v>
      </c>
      <c r="BQ25" s="112"/>
      <c r="BR25" s="125"/>
      <c r="BS25" s="135">
        <f>BP25</f>
        <v>659.53740000000005</v>
      </c>
      <c r="BT25" s="103">
        <v>548.70000000000005</v>
      </c>
      <c r="BU25" s="112">
        <v>548.70000000000005</v>
      </c>
      <c r="BV25" s="112">
        <v>2935.5</v>
      </c>
      <c r="BW25" s="112"/>
      <c r="BX25" s="112"/>
      <c r="BY25" s="125"/>
      <c r="BZ25" s="114"/>
      <c r="CA25" s="127"/>
      <c r="CB25" s="114"/>
      <c r="CC25" s="125"/>
      <c r="CD25" s="125"/>
      <c r="CE25" s="125"/>
      <c r="CF25" s="125"/>
      <c r="CG25" s="112"/>
      <c r="CH25" s="124"/>
      <c r="CI25" s="112"/>
      <c r="CJ25" s="112"/>
      <c r="CK25" s="112"/>
      <c r="CL25" s="112"/>
      <c r="CM25" s="112"/>
      <c r="CN25" s="112"/>
      <c r="CO25" s="112"/>
      <c r="CP25" s="112"/>
      <c r="CQ25" s="112"/>
      <c r="CR25" s="125"/>
      <c r="CS25" s="112"/>
      <c r="CT25" s="112"/>
      <c r="CU25" s="112"/>
      <c r="CV25" s="114"/>
      <c r="CW25" s="124"/>
      <c r="CX25" s="124"/>
      <c r="CY25" s="112"/>
      <c r="CZ25" s="112"/>
      <c r="DA25" s="112"/>
      <c r="DB25" s="112"/>
      <c r="DC25" s="125"/>
      <c r="DD25" s="125"/>
      <c r="DE25" s="112"/>
      <c r="DF25" s="112"/>
      <c r="DG25" s="112"/>
      <c r="DH25" s="125"/>
      <c r="DI25" s="112"/>
      <c r="DJ25" s="112"/>
      <c r="DK25" s="112"/>
      <c r="DL25" s="112"/>
      <c r="DM25" s="112"/>
      <c r="DN25" s="124"/>
      <c r="DO25" s="112"/>
      <c r="DP25" s="124"/>
      <c r="DQ25" s="124"/>
      <c r="DR25" s="112"/>
      <c r="DS25" s="125"/>
      <c r="DT25" s="125"/>
      <c r="DU25" s="112"/>
      <c r="DV25" s="114"/>
      <c r="DW25" s="112"/>
      <c r="DX25" s="125"/>
      <c r="DY25" s="112"/>
      <c r="DZ25" s="112"/>
      <c r="EA25" s="112"/>
      <c r="EB25" s="128"/>
      <c r="EC25" s="95">
        <f>21.6-0.72</f>
        <v>20.880000000000003</v>
      </c>
      <c r="ED25" s="95"/>
      <c r="EE25" s="106"/>
      <c r="EF25" s="106"/>
      <c r="EG25" s="95"/>
      <c r="EH25" s="95">
        <f t="shared" si="21"/>
        <v>2721.6</v>
      </c>
      <c r="EI25" s="95"/>
      <c r="EJ25" s="107"/>
      <c r="EK25" s="107"/>
      <c r="EL25" s="107">
        <f t="shared" si="9"/>
        <v>2721.6</v>
      </c>
      <c r="EM25" s="107"/>
      <c r="EN25" s="108">
        <f t="shared" si="15"/>
        <v>56827.008000000002</v>
      </c>
      <c r="EO25" s="108"/>
      <c r="EP25" s="109">
        <f t="shared" si="10"/>
        <v>0</v>
      </c>
      <c r="EQ25" s="109"/>
      <c r="ER25" s="109">
        <f>M25*EE25</f>
        <v>0</v>
      </c>
      <c r="ES25" s="95">
        <v>10460.94</v>
      </c>
      <c r="ET25" s="110">
        <f t="shared" si="18"/>
        <v>-10460.94</v>
      </c>
      <c r="EU25" s="110">
        <f t="shared" si="16"/>
        <v>-2372.0952380952381</v>
      </c>
    </row>
    <row r="26" spans="1:151">
      <c r="A26" s="47">
        <v>19</v>
      </c>
      <c r="B26" s="136" t="s">
        <v>157</v>
      </c>
      <c r="C26" s="136" t="s">
        <v>158</v>
      </c>
      <c r="D26" s="137" t="s">
        <v>155</v>
      </c>
      <c r="E26" s="138" t="s">
        <v>150</v>
      </c>
      <c r="F26" s="139" t="s">
        <v>159</v>
      </c>
      <c r="G26" s="140">
        <v>5</v>
      </c>
      <c r="H26" s="140">
        <v>4</v>
      </c>
      <c r="I26" s="141">
        <v>56</v>
      </c>
      <c r="J26" s="141">
        <v>116</v>
      </c>
      <c r="K26" s="141">
        <v>57</v>
      </c>
      <c r="L26" s="53">
        <f>'[1]Горьк 18-А '!H63+'[1]Горьк 18-А '!I63</f>
        <v>102</v>
      </c>
      <c r="M26" s="142">
        <v>3212</v>
      </c>
      <c r="N26" s="142">
        <f>'[1]Горьк 18-А '!E67</f>
        <v>0</v>
      </c>
      <c r="O26" s="143">
        <v>3212</v>
      </c>
      <c r="P26" s="142"/>
      <c r="Q26" s="142"/>
      <c r="R26" s="144">
        <f>'[1]Горьк 18-А '!F66</f>
        <v>2243.2000000000007</v>
      </c>
      <c r="S26" s="144">
        <f>'[1]Горьк 18-А '!F67</f>
        <v>0</v>
      </c>
      <c r="T26" s="140">
        <f>R26+S26</f>
        <v>2243.2000000000007</v>
      </c>
      <c r="U26" s="142"/>
      <c r="V26" s="142"/>
      <c r="W26" s="145">
        <f t="shared" si="0"/>
        <v>3212</v>
      </c>
      <c r="X26" s="140">
        <f t="shared" si="1"/>
        <v>2243.2000000000007</v>
      </c>
      <c r="Y26" s="140">
        <f t="shared" si="2"/>
        <v>3212</v>
      </c>
      <c r="Z26" s="140">
        <f t="shared" si="2"/>
        <v>2243.2000000000007</v>
      </c>
      <c r="AA26" s="142"/>
      <c r="AB26" s="142"/>
      <c r="AC26" s="140">
        <f t="shared" si="19"/>
        <v>3212</v>
      </c>
      <c r="AD26" s="140">
        <f t="shared" si="19"/>
        <v>2243.2000000000007</v>
      </c>
      <c r="AE26" s="142"/>
      <c r="AF26" s="142"/>
      <c r="AG26" s="142"/>
      <c r="AH26" s="142"/>
      <c r="AI26" s="142"/>
      <c r="AJ26" s="142"/>
      <c r="AK26" s="140">
        <f t="shared" si="4"/>
        <v>3212</v>
      </c>
      <c r="AL26" s="140">
        <f t="shared" si="4"/>
        <v>2243.2000000000007</v>
      </c>
      <c r="AM26" s="142"/>
      <c r="AN26" s="142"/>
      <c r="AO26" s="142"/>
      <c r="AP26" s="142"/>
      <c r="AQ26" s="146">
        <f t="shared" si="20"/>
        <v>3212</v>
      </c>
      <c r="AR26" s="146">
        <f t="shared" si="20"/>
        <v>2243.2000000000007</v>
      </c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>
        <v>366</v>
      </c>
      <c r="BH26" s="142"/>
      <c r="BI26" s="142"/>
      <c r="BJ26" s="142"/>
      <c r="BK26" s="140"/>
      <c r="BL26" s="142"/>
      <c r="BM26" s="142"/>
      <c r="BN26" s="142"/>
      <c r="BO26" s="142"/>
      <c r="BP26" s="147">
        <f t="shared" si="6"/>
        <v>907.02919999999995</v>
      </c>
      <c r="BQ26" s="142"/>
      <c r="BR26" s="148"/>
      <c r="BS26" s="149">
        <f>BP26</f>
        <v>907.02919999999995</v>
      </c>
      <c r="BT26" s="149">
        <v>754.6</v>
      </c>
      <c r="BU26" s="142">
        <v>754.6</v>
      </c>
      <c r="BV26" s="142">
        <v>1611.6</v>
      </c>
      <c r="BW26" s="142"/>
      <c r="BX26" s="142"/>
      <c r="BY26" s="148"/>
      <c r="BZ26" s="150"/>
      <c r="CA26" s="151"/>
      <c r="CB26" s="150"/>
      <c r="CC26" s="148"/>
      <c r="CD26" s="148"/>
      <c r="CE26" s="148"/>
      <c r="CF26" s="148"/>
      <c r="CG26" s="142"/>
      <c r="CH26" s="141"/>
      <c r="CI26" s="142"/>
      <c r="CJ26" s="142"/>
      <c r="CK26" s="142"/>
      <c r="CL26" s="142"/>
      <c r="CM26" s="142"/>
      <c r="CN26" s="142"/>
      <c r="CO26" s="142"/>
      <c r="CP26" s="142"/>
      <c r="CQ26" s="142"/>
      <c r="CR26" s="148"/>
      <c r="CS26" s="142"/>
      <c r="CT26" s="142"/>
      <c r="CU26" s="142"/>
      <c r="CV26" s="150"/>
      <c r="CW26" s="141"/>
      <c r="CX26" s="141"/>
      <c r="CY26" s="142"/>
      <c r="CZ26" s="142"/>
      <c r="DA26" s="142"/>
      <c r="DB26" s="142"/>
      <c r="DC26" s="148"/>
      <c r="DD26" s="148"/>
      <c r="DE26" s="142"/>
      <c r="DF26" s="142"/>
      <c r="DG26" s="142"/>
      <c r="DH26" s="148"/>
      <c r="DI26" s="142"/>
      <c r="DJ26" s="142"/>
      <c r="DK26" s="142"/>
      <c r="DL26" s="142"/>
      <c r="DM26" s="142"/>
      <c r="DN26" s="141"/>
      <c r="DO26" s="142"/>
      <c r="DP26" s="141"/>
      <c r="DQ26" s="141"/>
      <c r="DR26" s="142"/>
      <c r="DS26" s="148"/>
      <c r="DT26" s="148"/>
      <c r="DU26" s="142"/>
      <c r="DV26" s="150"/>
      <c r="DW26" s="142"/>
      <c r="DX26" s="148"/>
      <c r="DY26" s="142"/>
      <c r="DZ26" s="142"/>
      <c r="EA26" s="142"/>
      <c r="EB26" s="152"/>
      <c r="EC26" s="53">
        <f>22.45-0.72</f>
        <v>21.73</v>
      </c>
      <c r="ED26" s="53"/>
      <c r="EE26" s="153"/>
      <c r="EF26" s="153"/>
      <c r="EG26" s="53"/>
      <c r="EH26" s="53">
        <f t="shared" si="21"/>
        <v>3212</v>
      </c>
      <c r="EI26" s="53"/>
      <c r="EJ26" s="154"/>
      <c r="EK26" s="154"/>
      <c r="EL26" s="154">
        <f t="shared" si="9"/>
        <v>3212</v>
      </c>
      <c r="EM26" s="154"/>
      <c r="EN26" s="155">
        <f t="shared" si="15"/>
        <v>69796.759999999995</v>
      </c>
      <c r="EO26" s="155"/>
      <c r="EP26" s="156"/>
      <c r="EQ26" s="156"/>
      <c r="ER26" s="156"/>
      <c r="ES26" s="53"/>
      <c r="ET26" s="157"/>
      <c r="EU26" s="157"/>
    </row>
    <row r="27" spans="1:151">
      <c r="A27" s="47">
        <v>20</v>
      </c>
      <c r="B27" s="136" t="s">
        <v>157</v>
      </c>
      <c r="C27" s="136" t="s">
        <v>160</v>
      </c>
      <c r="D27" s="137" t="s">
        <v>149</v>
      </c>
      <c r="E27" s="138" t="s">
        <v>150</v>
      </c>
      <c r="F27" s="142">
        <v>2012</v>
      </c>
      <c r="G27" s="140">
        <v>9</v>
      </c>
      <c r="H27" s="140">
        <v>2</v>
      </c>
      <c r="I27" s="141">
        <v>107</v>
      </c>
      <c r="J27" s="141">
        <v>197</v>
      </c>
      <c r="K27" s="141">
        <v>107</v>
      </c>
      <c r="L27" s="53">
        <f>'[1]Горьк 20-а'!H111+'[1]Горьк 20-а'!I111</f>
        <v>225</v>
      </c>
      <c r="M27" s="142">
        <v>4924.8999999999996</v>
      </c>
      <c r="N27" s="142">
        <v>1018</v>
      </c>
      <c r="O27" s="143">
        <f t="shared" si="12"/>
        <v>5942.9</v>
      </c>
      <c r="P27" s="142"/>
      <c r="Q27" s="142"/>
      <c r="R27" s="144">
        <v>2632.4</v>
      </c>
      <c r="S27" s="144">
        <v>566.1</v>
      </c>
      <c r="T27" s="140">
        <f t="shared" si="13"/>
        <v>3198.5</v>
      </c>
      <c r="U27" s="142"/>
      <c r="V27" s="142"/>
      <c r="W27" s="145">
        <f>O27</f>
        <v>5942.9</v>
      </c>
      <c r="X27" s="140">
        <f>T27</f>
        <v>3198.5</v>
      </c>
      <c r="Y27" s="140">
        <f t="shared" si="2"/>
        <v>5942.9</v>
      </c>
      <c r="Z27" s="140">
        <f t="shared" si="2"/>
        <v>3198.5</v>
      </c>
      <c r="AA27" s="142"/>
      <c r="AB27" s="142"/>
      <c r="AC27" s="140">
        <f t="shared" si="19"/>
        <v>5942.9</v>
      </c>
      <c r="AD27" s="140">
        <f t="shared" si="19"/>
        <v>3198.5</v>
      </c>
      <c r="AE27" s="142"/>
      <c r="AF27" s="142"/>
      <c r="AG27" s="142">
        <v>5939.5</v>
      </c>
      <c r="AH27" s="142">
        <v>3208.5</v>
      </c>
      <c r="AI27" s="142"/>
      <c r="AJ27" s="142"/>
      <c r="AK27" s="140">
        <v>5939.5</v>
      </c>
      <c r="AL27" s="140">
        <v>3208.5</v>
      </c>
      <c r="AM27" s="142"/>
      <c r="AN27" s="142"/>
      <c r="AO27" s="146">
        <f>Y27</f>
        <v>5942.9</v>
      </c>
      <c r="AP27" s="146">
        <f>Z27</f>
        <v>3198.5</v>
      </c>
      <c r="AQ27" s="158"/>
      <c r="AR27" s="158"/>
      <c r="AS27" s="142"/>
      <c r="AT27" s="142"/>
      <c r="AU27" s="142">
        <f>O27</f>
        <v>5942.9</v>
      </c>
      <c r="AV27" s="142">
        <f>T27</f>
        <v>3198.5</v>
      </c>
      <c r="AW27" s="142">
        <f>O27</f>
        <v>5942.9</v>
      </c>
      <c r="AX27" s="142">
        <f>T27</f>
        <v>3198.5</v>
      </c>
      <c r="AY27" s="142"/>
      <c r="AZ27" s="142">
        <v>54188155</v>
      </c>
      <c r="BA27" s="142"/>
      <c r="BB27" s="142"/>
      <c r="BC27" s="142"/>
      <c r="BD27" s="142">
        <v>28.5</v>
      </c>
      <c r="BE27" s="142"/>
      <c r="BF27" s="142"/>
      <c r="BG27" s="142">
        <v>1017.6</v>
      </c>
      <c r="BH27" s="142"/>
      <c r="BI27" s="142"/>
      <c r="BJ27" s="142">
        <f>BG27</f>
        <v>1017.6</v>
      </c>
      <c r="BK27" s="140"/>
      <c r="BL27" s="142"/>
      <c r="BM27" s="142"/>
      <c r="BN27" s="142"/>
      <c r="BO27" s="142"/>
      <c r="BP27" s="147">
        <v>1103.68</v>
      </c>
      <c r="BQ27" s="142"/>
      <c r="BR27" s="159">
        <v>1103.68</v>
      </c>
      <c r="BS27" s="149"/>
      <c r="BT27" s="149">
        <v>82.5</v>
      </c>
      <c r="BU27" s="142">
        <v>918.2</v>
      </c>
      <c r="BV27" s="160">
        <v>3526</v>
      </c>
      <c r="BW27" s="142"/>
      <c r="BX27" s="142"/>
      <c r="BY27" s="148"/>
      <c r="BZ27" s="150"/>
      <c r="CA27" s="151"/>
      <c r="CB27" s="150"/>
      <c r="CC27" s="148"/>
      <c r="CD27" s="148"/>
      <c r="CE27" s="148"/>
      <c r="CF27" s="148"/>
      <c r="CG27" s="142"/>
      <c r="CH27" s="141"/>
      <c r="CI27" s="142"/>
      <c r="CJ27" s="142"/>
      <c r="CK27" s="142"/>
      <c r="CL27" s="142"/>
      <c r="CM27" s="142"/>
      <c r="CN27" s="142"/>
      <c r="CO27" s="142"/>
      <c r="CP27" s="142"/>
      <c r="CQ27" s="142"/>
      <c r="CR27" s="148"/>
      <c r="CS27" s="142"/>
      <c r="CT27" s="142"/>
      <c r="CU27" s="142"/>
      <c r="CV27" s="150"/>
      <c r="CW27" s="141"/>
      <c r="CX27" s="141"/>
      <c r="CY27" s="142"/>
      <c r="CZ27" s="142"/>
      <c r="DA27" s="142"/>
      <c r="DB27" s="142"/>
      <c r="DC27" s="148"/>
      <c r="DD27" s="148"/>
      <c r="DE27" s="142"/>
      <c r="DF27" s="142"/>
      <c r="DG27" s="142"/>
      <c r="DH27" s="148"/>
      <c r="DI27" s="142"/>
      <c r="DJ27" s="142"/>
      <c r="DK27" s="142"/>
      <c r="DL27" s="142"/>
      <c r="DM27" s="142"/>
      <c r="DN27" s="141"/>
      <c r="DO27" s="142"/>
      <c r="DP27" s="141"/>
      <c r="DQ27" s="141"/>
      <c r="DR27" s="142"/>
      <c r="DS27" s="148"/>
      <c r="DT27" s="148"/>
      <c r="DU27" s="142"/>
      <c r="DV27" s="150"/>
      <c r="DW27" s="142"/>
      <c r="DX27" s="148"/>
      <c r="DY27" s="142"/>
      <c r="DZ27" s="142"/>
      <c r="EA27" s="142"/>
      <c r="EB27" s="152"/>
      <c r="EC27" s="53">
        <f>26.64-0.72</f>
        <v>25.92</v>
      </c>
      <c r="ED27" s="53">
        <f>19.51-0.72</f>
        <v>18.790000000000003</v>
      </c>
      <c r="EE27" s="153"/>
      <c r="EF27" s="153"/>
      <c r="EG27" s="53">
        <f>26.64-0.72</f>
        <v>25.92</v>
      </c>
      <c r="EH27" s="53">
        <f>'[1]Горьк 20-а'!E4+'[1]Горьк 20-а'!E5+'[1]Горьк 20-а'!E6+'[1]Горьк 20-а'!E7+'[1]Горьк 20-а'!E8+'[1]Горьк 20-а'!E9+'[1]Горьк 20-а'!E58+'[1]Горьк 20-а'!E59+'[1]Горьк 20-а'!E60+'[1]Горьк 20-а'!E61+'[1]Горьк 20-а'!E62</f>
        <v>632.5</v>
      </c>
      <c r="EI27" s="53"/>
      <c r="EJ27" s="154"/>
      <c r="EK27" s="154">
        <v>5307.5</v>
      </c>
      <c r="EL27" s="154"/>
      <c r="EM27" s="154"/>
      <c r="EN27" s="108">
        <f t="shared" si="15"/>
        <v>16394.400000000001</v>
      </c>
      <c r="EO27" s="155">
        <f>EK27*EC27</f>
        <v>137570.40000000002</v>
      </c>
      <c r="EP27" s="156"/>
      <c r="EQ27" s="156"/>
      <c r="ER27" s="156">
        <f>M27*EE27</f>
        <v>0</v>
      </c>
      <c r="ES27" s="53"/>
      <c r="ET27" s="157"/>
      <c r="EU27" s="157"/>
    </row>
    <row r="28" spans="1:151">
      <c r="A28" s="47">
        <v>21</v>
      </c>
      <c r="B28" s="90" t="s">
        <v>157</v>
      </c>
      <c r="C28" s="90" t="s">
        <v>161</v>
      </c>
      <c r="D28" s="91" t="s">
        <v>149</v>
      </c>
      <c r="E28" s="92" t="s">
        <v>150</v>
      </c>
      <c r="F28" s="93">
        <v>1984</v>
      </c>
      <c r="G28" s="93">
        <v>5</v>
      </c>
      <c r="H28" s="93">
        <v>4</v>
      </c>
      <c r="I28" s="94">
        <v>58</v>
      </c>
      <c r="J28" s="94">
        <v>131</v>
      </c>
      <c r="K28" s="94">
        <v>58</v>
      </c>
      <c r="L28" s="95">
        <f>[1]Горьк.14а!H63+[1]Горьк.14а!I63</f>
        <v>132</v>
      </c>
      <c r="M28" s="93">
        <f>[1]Горьк.14а!E66</f>
        <v>2945.5000000000005</v>
      </c>
      <c r="N28" s="93">
        <f>[1]Горьк.14а!E67</f>
        <v>112.3</v>
      </c>
      <c r="O28" s="96">
        <f t="shared" si="12"/>
        <v>3057.8000000000006</v>
      </c>
      <c r="P28" s="93"/>
      <c r="Q28" s="93"/>
      <c r="R28" s="97">
        <f>[1]Горьк.14а!F66</f>
        <v>1742.6999999999998</v>
      </c>
      <c r="S28" s="97">
        <f>[1]Горьк.14а!F67</f>
        <v>67.3</v>
      </c>
      <c r="T28" s="93">
        <f t="shared" si="13"/>
        <v>1809.9999999999998</v>
      </c>
      <c r="U28" s="93"/>
      <c r="V28" s="93"/>
      <c r="W28" s="99">
        <f t="shared" si="0"/>
        <v>3057.8000000000006</v>
      </c>
      <c r="X28" s="93">
        <f t="shared" si="1"/>
        <v>1809.9999999999998</v>
      </c>
      <c r="Y28" s="93">
        <f t="shared" si="2"/>
        <v>3057.8000000000006</v>
      </c>
      <c r="Z28" s="93">
        <f t="shared" si="2"/>
        <v>1809.9999999999998</v>
      </c>
      <c r="AA28" s="93"/>
      <c r="AB28" s="93"/>
      <c r="AC28" s="93">
        <f t="shared" si="19"/>
        <v>3057.8000000000006</v>
      </c>
      <c r="AD28" s="93">
        <f t="shared" si="19"/>
        <v>1809.9999999999998</v>
      </c>
      <c r="AE28" s="93"/>
      <c r="AF28" s="93"/>
      <c r="AG28" s="93"/>
      <c r="AH28" s="93"/>
      <c r="AI28" s="93"/>
      <c r="AJ28" s="93"/>
      <c r="AK28" s="93">
        <f t="shared" si="4"/>
        <v>3057.8000000000006</v>
      </c>
      <c r="AL28" s="93">
        <f t="shared" si="4"/>
        <v>1809.9999999999998</v>
      </c>
      <c r="AM28" s="93"/>
      <c r="AN28" s="93"/>
      <c r="AO28" s="161">
        <f>W28</f>
        <v>3057.8000000000006</v>
      </c>
      <c r="AP28" s="161">
        <f>X28</f>
        <v>1809.9999999999998</v>
      </c>
      <c r="AQ28" s="161"/>
      <c r="AR28" s="161"/>
      <c r="AS28" s="93">
        <v>2651.4</v>
      </c>
      <c r="AT28" s="93">
        <v>1564.1</v>
      </c>
      <c r="AU28" s="93"/>
      <c r="AV28" s="93"/>
      <c r="AW28" s="93"/>
      <c r="AX28" s="93"/>
      <c r="AY28" s="93">
        <v>51</v>
      </c>
      <c r="AZ28" s="93">
        <v>22278230</v>
      </c>
      <c r="BA28" s="93"/>
      <c r="BB28" s="93"/>
      <c r="BC28" s="93"/>
      <c r="BD28" s="93"/>
      <c r="BE28" s="93"/>
      <c r="BF28" s="93"/>
      <c r="BG28" s="93">
        <v>275.89999999999998</v>
      </c>
      <c r="BH28" s="93"/>
      <c r="BI28" s="93"/>
      <c r="BJ28" s="93"/>
      <c r="BK28" s="112"/>
      <c r="BL28" s="93"/>
      <c r="BM28" s="93"/>
      <c r="BN28" s="93"/>
      <c r="BO28" s="93"/>
      <c r="BP28" s="101">
        <f t="shared" si="6"/>
        <v>808.58540000000005</v>
      </c>
      <c r="BQ28" s="93"/>
      <c r="BR28" s="102"/>
      <c r="BS28" s="103">
        <f t="shared" ref="BS28:BS35" si="22">BP28</f>
        <v>808.58540000000005</v>
      </c>
      <c r="BT28" s="101">
        <v>672.7</v>
      </c>
      <c r="BU28" s="93">
        <v>672.7</v>
      </c>
      <c r="BV28" s="98">
        <v>2548</v>
      </c>
      <c r="BW28" s="93"/>
      <c r="BX28" s="93"/>
      <c r="BY28" s="102"/>
      <c r="BZ28" s="104"/>
      <c r="CA28" s="104"/>
      <c r="CB28" s="104"/>
      <c r="CC28" s="113"/>
      <c r="CD28" s="113"/>
      <c r="CE28" s="113"/>
      <c r="CF28" s="113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4"/>
      <c r="CW28" s="114"/>
      <c r="CX28" s="112"/>
      <c r="CY28" s="112"/>
      <c r="CZ28" s="112"/>
      <c r="DA28" s="112"/>
      <c r="DB28" s="112"/>
      <c r="DC28" s="112"/>
      <c r="DD28" s="112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5"/>
      <c r="EC28" s="95">
        <f>22.45-0.72</f>
        <v>21.73</v>
      </c>
      <c r="ED28" s="95"/>
      <c r="EE28" s="106"/>
      <c r="EF28" s="106"/>
      <c r="EG28" s="95"/>
      <c r="EH28" s="95">
        <f t="shared" si="21"/>
        <v>3057.8000000000006</v>
      </c>
      <c r="EI28" s="95"/>
      <c r="EJ28" s="107"/>
      <c r="EK28" s="107"/>
      <c r="EL28" s="107">
        <f>O28-EJ28+EI28</f>
        <v>3057.8000000000006</v>
      </c>
      <c r="EM28" s="107"/>
      <c r="EN28" s="108">
        <f t="shared" si="15"/>
        <v>66445.994000000021</v>
      </c>
      <c r="EO28" s="108"/>
      <c r="EP28" s="109">
        <f t="shared" si="10"/>
        <v>0</v>
      </c>
      <c r="EQ28" s="109"/>
      <c r="ER28" s="109">
        <f>M28*EE28</f>
        <v>0</v>
      </c>
      <c r="ES28" s="95">
        <v>12491.8</v>
      </c>
      <c r="ET28" s="110">
        <f t="shared" si="18"/>
        <v>-12491.8</v>
      </c>
      <c r="EU28" s="110">
        <f t="shared" si="16"/>
        <v>-2832.6077097505668</v>
      </c>
    </row>
    <row r="29" spans="1:151">
      <c r="A29" s="47">
        <v>22</v>
      </c>
      <c r="B29" s="136" t="s">
        <v>162</v>
      </c>
      <c r="C29" s="136">
        <v>12</v>
      </c>
      <c r="D29" s="137" t="s">
        <v>149</v>
      </c>
      <c r="E29" s="138" t="s">
        <v>150</v>
      </c>
      <c r="F29" s="140">
        <v>1989</v>
      </c>
      <c r="G29" s="140">
        <v>5</v>
      </c>
      <c r="H29" s="140">
        <v>3</v>
      </c>
      <c r="I29" s="162">
        <v>60</v>
      </c>
      <c r="J29" s="162">
        <f>'[1]Дзержинского 12'!J65</f>
        <v>130</v>
      </c>
      <c r="K29" s="162">
        <v>59</v>
      </c>
      <c r="L29" s="53">
        <f>'[1]Дзержинского 12'!H65+'[1]Дзержинского 12'!I65</f>
        <v>0</v>
      </c>
      <c r="M29" s="140">
        <f>'[1]Дзержинского 12'!E68</f>
        <v>3085.5000000000005</v>
      </c>
      <c r="N29" s="140">
        <f>'[1]Дзержинского 12'!E69</f>
        <v>226.7</v>
      </c>
      <c r="O29" s="96">
        <f t="shared" si="12"/>
        <v>3312.2000000000003</v>
      </c>
      <c r="P29" s="140"/>
      <c r="Q29" s="140"/>
      <c r="R29" s="144">
        <f>'[1]Дзержинского 12'!F68</f>
        <v>1781.3000000000009</v>
      </c>
      <c r="S29" s="144">
        <f>'[1]Дзержинского 12'!F69</f>
        <v>132</v>
      </c>
      <c r="T29" s="93">
        <f t="shared" si="13"/>
        <v>1913.3000000000009</v>
      </c>
      <c r="U29" s="140"/>
      <c r="V29" s="140"/>
      <c r="W29" s="99">
        <f t="shared" si="0"/>
        <v>3312.2000000000003</v>
      </c>
      <c r="X29" s="93">
        <f t="shared" si="1"/>
        <v>1913.3000000000009</v>
      </c>
      <c r="Y29" s="93">
        <f t="shared" si="2"/>
        <v>3312.2000000000003</v>
      </c>
      <c r="Z29" s="93">
        <f t="shared" si="2"/>
        <v>1913.3000000000009</v>
      </c>
      <c r="AA29" s="140"/>
      <c r="AB29" s="140"/>
      <c r="AC29" s="93">
        <f t="shared" si="19"/>
        <v>3312.2000000000003</v>
      </c>
      <c r="AD29" s="93">
        <f t="shared" si="19"/>
        <v>1913.3000000000009</v>
      </c>
      <c r="AE29" s="140"/>
      <c r="AF29" s="140"/>
      <c r="AG29" s="140"/>
      <c r="AH29" s="140"/>
      <c r="AI29" s="140"/>
      <c r="AJ29" s="140"/>
      <c r="AK29" s="93">
        <f t="shared" si="4"/>
        <v>3312.2000000000003</v>
      </c>
      <c r="AL29" s="93">
        <f t="shared" si="4"/>
        <v>1913.3000000000009</v>
      </c>
      <c r="AM29" s="140"/>
      <c r="AN29" s="140"/>
      <c r="AO29" s="163"/>
      <c r="AP29" s="163"/>
      <c r="AQ29" s="163">
        <f>AK29</f>
        <v>3312.2000000000003</v>
      </c>
      <c r="AR29" s="163">
        <f>AL29</f>
        <v>1913.3000000000009</v>
      </c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>
        <v>351.35</v>
      </c>
      <c r="BH29" s="140"/>
      <c r="BI29" s="140"/>
      <c r="BJ29" s="140"/>
      <c r="BK29" s="142"/>
      <c r="BL29" s="140"/>
      <c r="BM29" s="140"/>
      <c r="BN29" s="140"/>
      <c r="BO29" s="140"/>
      <c r="BP29" s="101">
        <f t="shared" si="6"/>
        <v>917.84720000000004</v>
      </c>
      <c r="BQ29" s="140"/>
      <c r="BR29" s="164"/>
      <c r="BS29" s="149"/>
      <c r="BT29" s="147">
        <v>763.6</v>
      </c>
      <c r="BU29" s="140">
        <v>763.6</v>
      </c>
      <c r="BV29" s="165">
        <v>2457.35</v>
      </c>
      <c r="BW29" s="140"/>
      <c r="BX29" s="140"/>
      <c r="BY29" s="164"/>
      <c r="BZ29" s="166"/>
      <c r="CA29" s="166"/>
      <c r="CB29" s="166"/>
      <c r="CC29" s="167"/>
      <c r="CD29" s="167"/>
      <c r="CE29" s="167"/>
      <c r="CF29" s="167"/>
      <c r="CG29" s="142"/>
      <c r="CH29" s="142"/>
      <c r="CI29" s="142"/>
      <c r="CJ29" s="142"/>
      <c r="CK29" s="142"/>
      <c r="CL29" s="142"/>
      <c r="CM29" s="142"/>
      <c r="CN29" s="142"/>
      <c r="CO29" s="142"/>
      <c r="CP29" s="142"/>
      <c r="CQ29" s="142"/>
      <c r="CR29" s="142"/>
      <c r="CS29" s="142"/>
      <c r="CT29" s="142"/>
      <c r="CU29" s="142"/>
      <c r="CV29" s="150"/>
      <c r="CW29" s="150"/>
      <c r="CX29" s="142"/>
      <c r="CY29" s="142"/>
      <c r="CZ29" s="142"/>
      <c r="DA29" s="142"/>
      <c r="DB29" s="142"/>
      <c r="DC29" s="142"/>
      <c r="DD29" s="142"/>
      <c r="DE29" s="150"/>
      <c r="DF29" s="150"/>
      <c r="DG29" s="150"/>
      <c r="DH29" s="150"/>
      <c r="DI29" s="150"/>
      <c r="DJ29" s="150"/>
      <c r="DK29" s="150"/>
      <c r="DL29" s="150"/>
      <c r="DM29" s="150"/>
      <c r="DN29" s="150"/>
      <c r="DO29" s="150"/>
      <c r="DP29" s="150"/>
      <c r="DQ29" s="150"/>
      <c r="DR29" s="150"/>
      <c r="DS29" s="150"/>
      <c r="DT29" s="150"/>
      <c r="DU29" s="150"/>
      <c r="DV29" s="150"/>
      <c r="DW29" s="150"/>
      <c r="DX29" s="150"/>
      <c r="DY29" s="150"/>
      <c r="DZ29" s="150"/>
      <c r="EA29" s="150"/>
      <c r="EB29" s="168"/>
      <c r="EC29" s="53">
        <v>22.4</v>
      </c>
      <c r="ED29" s="53"/>
      <c r="EE29" s="153"/>
      <c r="EF29" s="153"/>
      <c r="EG29" s="53"/>
      <c r="EH29" s="53"/>
      <c r="EI29" s="53"/>
      <c r="EJ29" s="154"/>
      <c r="EK29" s="154"/>
      <c r="EL29" s="154"/>
      <c r="EM29" s="154"/>
      <c r="EN29" s="155"/>
      <c r="EO29" s="155"/>
      <c r="EP29" s="156"/>
      <c r="EQ29" s="156"/>
      <c r="ER29" s="156"/>
      <c r="ES29" s="53"/>
      <c r="ET29" s="157"/>
      <c r="EU29" s="157"/>
    </row>
    <row r="30" spans="1:151">
      <c r="A30" s="47">
        <v>23</v>
      </c>
      <c r="B30" s="136" t="s">
        <v>162</v>
      </c>
      <c r="C30" s="136" t="s">
        <v>163</v>
      </c>
      <c r="D30" s="137" t="s">
        <v>149</v>
      </c>
      <c r="E30" s="138" t="s">
        <v>150</v>
      </c>
      <c r="F30" s="140">
        <v>1991</v>
      </c>
      <c r="G30" s="140">
        <v>5</v>
      </c>
      <c r="H30" s="140">
        <v>3</v>
      </c>
      <c r="I30" s="162">
        <v>60</v>
      </c>
      <c r="J30" s="162">
        <v>140</v>
      </c>
      <c r="K30" s="162">
        <v>60</v>
      </c>
      <c r="L30" s="53">
        <f>'[1]Дзержинского 12а'!H64+'[1]Дзержинского 12а'!I64</f>
        <v>121</v>
      </c>
      <c r="M30" s="140">
        <f>'[1]Дзержинского 12а'!E67</f>
        <v>3343.6</v>
      </c>
      <c r="N30" s="140">
        <f>'[1]Дзержинского 12а'!E68</f>
        <v>52.7</v>
      </c>
      <c r="O30" s="143">
        <f>M30+N30</f>
        <v>3396.2999999999997</v>
      </c>
      <c r="P30" s="140"/>
      <c r="Q30" s="140"/>
      <c r="R30" s="144">
        <f>'[1]Дзержинского 12а'!F67</f>
        <v>1953.1000000000006</v>
      </c>
      <c r="S30" s="144">
        <f>'[1]Дзержинского 12а'!F68</f>
        <v>30.7</v>
      </c>
      <c r="T30" s="140">
        <f>R30+S30</f>
        <v>1983.8000000000006</v>
      </c>
      <c r="U30" s="140"/>
      <c r="V30" s="140"/>
      <c r="W30" s="145">
        <f t="shared" si="0"/>
        <v>3396.2999999999997</v>
      </c>
      <c r="X30" s="140">
        <f t="shared" si="1"/>
        <v>1983.8000000000006</v>
      </c>
      <c r="Y30" s="140">
        <f t="shared" si="2"/>
        <v>3396.2999999999997</v>
      </c>
      <c r="Z30" s="140">
        <f t="shared" si="2"/>
        <v>1983.8000000000006</v>
      </c>
      <c r="AA30" s="140"/>
      <c r="AB30" s="140"/>
      <c r="AC30" s="140">
        <f t="shared" si="19"/>
        <v>3396.2999999999997</v>
      </c>
      <c r="AD30" s="140">
        <f t="shared" si="19"/>
        <v>1983.8000000000006</v>
      </c>
      <c r="AE30" s="140"/>
      <c r="AF30" s="140"/>
      <c r="AG30" s="140"/>
      <c r="AH30" s="140"/>
      <c r="AI30" s="140"/>
      <c r="AJ30" s="140"/>
      <c r="AK30" s="140">
        <f t="shared" si="4"/>
        <v>3396.2999999999997</v>
      </c>
      <c r="AL30" s="140">
        <f t="shared" si="4"/>
        <v>1983.8000000000006</v>
      </c>
      <c r="AM30" s="140"/>
      <c r="AN30" s="140"/>
      <c r="AO30" s="163"/>
      <c r="AP30" s="163"/>
      <c r="AQ30" s="163">
        <f>AK30</f>
        <v>3396.2999999999997</v>
      </c>
      <c r="AR30" s="163">
        <f>AL30</f>
        <v>1983.8000000000006</v>
      </c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>
        <f>243+71.1</f>
        <v>314.10000000000002</v>
      </c>
      <c r="BH30" s="140"/>
      <c r="BI30" s="140"/>
      <c r="BJ30" s="140"/>
      <c r="BK30" s="142"/>
      <c r="BL30" s="140"/>
      <c r="BM30" s="140"/>
      <c r="BN30" s="140"/>
      <c r="BO30" s="140"/>
      <c r="BP30" s="101">
        <f t="shared" si="6"/>
        <v>891.04259999999988</v>
      </c>
      <c r="BQ30" s="140"/>
      <c r="BR30" s="164"/>
      <c r="BS30" s="149"/>
      <c r="BT30" s="147">
        <v>741.3</v>
      </c>
      <c r="BU30" s="140">
        <v>741.3</v>
      </c>
      <c r="BV30" s="165">
        <v>3179.3</v>
      </c>
      <c r="BW30" s="140"/>
      <c r="BX30" s="140"/>
      <c r="BY30" s="164"/>
      <c r="BZ30" s="166"/>
      <c r="CA30" s="166"/>
      <c r="CB30" s="166"/>
      <c r="CC30" s="167"/>
      <c r="CD30" s="167"/>
      <c r="CE30" s="167"/>
      <c r="CF30" s="167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CT30" s="142"/>
      <c r="CU30" s="142"/>
      <c r="CV30" s="150"/>
      <c r="CW30" s="150"/>
      <c r="CX30" s="142"/>
      <c r="CY30" s="142"/>
      <c r="CZ30" s="142"/>
      <c r="DA30" s="142"/>
      <c r="DB30" s="142"/>
      <c r="DC30" s="142"/>
      <c r="DD30" s="142"/>
      <c r="DE30" s="150"/>
      <c r="DF30" s="150"/>
      <c r="DG30" s="150"/>
      <c r="DH30" s="150"/>
      <c r="DI30" s="150"/>
      <c r="DJ30" s="150"/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0"/>
      <c r="DY30" s="150"/>
      <c r="DZ30" s="150"/>
      <c r="EA30" s="150"/>
      <c r="EB30" s="168"/>
      <c r="EC30" s="53">
        <v>22.4</v>
      </c>
      <c r="ED30" s="53"/>
      <c r="EE30" s="153"/>
      <c r="EF30" s="153"/>
      <c r="EG30" s="53"/>
      <c r="EH30" s="53">
        <f t="shared" si="21"/>
        <v>3396.2999999999997</v>
      </c>
      <c r="EI30" s="53"/>
      <c r="EJ30" s="154"/>
      <c r="EK30" s="154"/>
      <c r="EL30" s="154">
        <f t="shared" ref="EL30:EL37" si="23">O30-EJ30+EI30</f>
        <v>3396.2999999999997</v>
      </c>
      <c r="EM30" s="154"/>
      <c r="EN30" s="155"/>
      <c r="EO30" s="155"/>
      <c r="EP30" s="156"/>
      <c r="EQ30" s="156"/>
      <c r="ER30" s="156"/>
      <c r="ES30" s="53"/>
      <c r="ET30" s="157"/>
      <c r="EU30" s="157"/>
    </row>
    <row r="31" spans="1:151">
      <c r="A31" s="47">
        <v>24</v>
      </c>
      <c r="B31" s="90" t="s">
        <v>164</v>
      </c>
      <c r="C31" s="90">
        <v>165</v>
      </c>
      <c r="D31" s="91" t="s">
        <v>149</v>
      </c>
      <c r="E31" s="92" t="s">
        <v>150</v>
      </c>
      <c r="F31" s="93">
        <v>1976</v>
      </c>
      <c r="G31" s="93">
        <v>5</v>
      </c>
      <c r="H31" s="93">
        <v>10</v>
      </c>
      <c r="I31" s="94">
        <v>148</v>
      </c>
      <c r="J31" s="94">
        <v>320</v>
      </c>
      <c r="K31" s="94">
        <v>151</v>
      </c>
      <c r="L31" s="95">
        <f>[1]Ком.165!H159+[1]Ком.165!I159</f>
        <v>313</v>
      </c>
      <c r="M31" s="93">
        <f>[1]Ком.165!E162</f>
        <v>6350.6</v>
      </c>
      <c r="N31" s="93">
        <f>[1]Ком.165!E163</f>
        <v>443.79999999999995</v>
      </c>
      <c r="O31" s="96">
        <f t="shared" si="12"/>
        <v>6794.4000000000005</v>
      </c>
      <c r="P31" s="93"/>
      <c r="Q31" s="93"/>
      <c r="R31" s="97">
        <f>[1]Ком.165!F162</f>
        <v>4279.4999999999982</v>
      </c>
      <c r="S31" s="97">
        <f>[1]Ком.165!F163</f>
        <v>293.7</v>
      </c>
      <c r="T31" s="93">
        <f t="shared" si="13"/>
        <v>4573.199999999998</v>
      </c>
      <c r="U31" s="93"/>
      <c r="V31" s="93"/>
      <c r="W31" s="99">
        <f t="shared" si="0"/>
        <v>6794.4000000000005</v>
      </c>
      <c r="X31" s="93">
        <f t="shared" si="1"/>
        <v>4573.199999999998</v>
      </c>
      <c r="Y31" s="93">
        <f t="shared" si="2"/>
        <v>6794.4000000000005</v>
      </c>
      <c r="Z31" s="93">
        <f t="shared" si="2"/>
        <v>4573.199999999998</v>
      </c>
      <c r="AA31" s="93"/>
      <c r="AB31" s="93"/>
      <c r="AC31" s="93">
        <f t="shared" si="19"/>
        <v>6794.4000000000005</v>
      </c>
      <c r="AD31" s="93">
        <f t="shared" si="19"/>
        <v>4573.199999999998</v>
      </c>
      <c r="AE31" s="93"/>
      <c r="AF31" s="93"/>
      <c r="AG31" s="93"/>
      <c r="AH31" s="93"/>
      <c r="AI31" s="93"/>
      <c r="AJ31" s="93"/>
      <c r="AK31" s="93">
        <f t="shared" si="4"/>
        <v>6794.4000000000005</v>
      </c>
      <c r="AL31" s="93">
        <f t="shared" si="4"/>
        <v>4573.199999999998</v>
      </c>
      <c r="AM31" s="93"/>
      <c r="AN31" s="93"/>
      <c r="AO31" s="93"/>
      <c r="AP31" s="93"/>
      <c r="AQ31" s="100">
        <f t="shared" si="20"/>
        <v>6794.4000000000005</v>
      </c>
      <c r="AR31" s="100">
        <f t="shared" si="20"/>
        <v>4573.199999999998</v>
      </c>
      <c r="AS31" s="93">
        <v>5767.6</v>
      </c>
      <c r="AT31" s="93">
        <v>3875.9</v>
      </c>
      <c r="AU31" s="93"/>
      <c r="AV31" s="93"/>
      <c r="AW31" s="93"/>
      <c r="AX31" s="93"/>
      <c r="AY31" s="93">
        <v>122</v>
      </c>
      <c r="AZ31" s="93">
        <v>30487846</v>
      </c>
      <c r="BA31" s="93">
        <v>70.2</v>
      </c>
      <c r="BB31" s="93">
        <f>44.3+47.9+30.4+61.1+42.8</f>
        <v>226.5</v>
      </c>
      <c r="BC31" s="93"/>
      <c r="BD31" s="93"/>
      <c r="BE31" s="93"/>
      <c r="BF31" s="93"/>
      <c r="BG31" s="93">
        <v>719</v>
      </c>
      <c r="BH31" s="93"/>
      <c r="BI31" s="93"/>
      <c r="BJ31" s="93"/>
      <c r="BK31" s="93"/>
      <c r="BL31" s="93"/>
      <c r="BM31" s="93"/>
      <c r="BN31" s="93"/>
      <c r="BO31" s="93"/>
      <c r="BP31" s="101">
        <f t="shared" si="6"/>
        <v>1721.9851999999998</v>
      </c>
      <c r="BQ31" s="93"/>
      <c r="BR31" s="102"/>
      <c r="BS31" s="103">
        <f t="shared" si="22"/>
        <v>1721.9851999999998</v>
      </c>
      <c r="BT31" s="103">
        <v>1432.6</v>
      </c>
      <c r="BU31" s="93">
        <v>1432.6</v>
      </c>
      <c r="BV31" s="93">
        <v>4313.3</v>
      </c>
      <c r="BW31" s="93"/>
      <c r="BX31" s="93"/>
      <c r="BY31" s="102"/>
      <c r="BZ31" s="93"/>
      <c r="CA31" s="93"/>
      <c r="CB31" s="93"/>
      <c r="CC31" s="102"/>
      <c r="CD31" s="102"/>
      <c r="CE31" s="102"/>
      <c r="CF31" s="102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104"/>
      <c r="CW31" s="104"/>
      <c r="CX31" s="93"/>
      <c r="CY31" s="93"/>
      <c r="CZ31" s="93"/>
      <c r="DA31" s="93"/>
      <c r="DB31" s="93"/>
      <c r="DC31" s="93"/>
      <c r="DD31" s="93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5"/>
      <c r="EC31" s="95">
        <f>21.6-0.72</f>
        <v>20.880000000000003</v>
      </c>
      <c r="ED31" s="95"/>
      <c r="EE31" s="106"/>
      <c r="EF31" s="106"/>
      <c r="EG31" s="95"/>
      <c r="EH31" s="95">
        <f t="shared" si="21"/>
        <v>6794.4000000000005</v>
      </c>
      <c r="EI31" s="95"/>
      <c r="EJ31" s="107"/>
      <c r="EK31" s="107"/>
      <c r="EL31" s="107">
        <f t="shared" si="23"/>
        <v>6794.4000000000005</v>
      </c>
      <c r="EM31" s="107"/>
      <c r="EN31" s="108">
        <f>(EH31-EJ31)*EC31</f>
        <v>141867.07200000001</v>
      </c>
      <c r="EO31" s="108"/>
      <c r="EP31" s="109">
        <f t="shared" si="10"/>
        <v>0</v>
      </c>
      <c r="EQ31" s="109">
        <f>EF31*EI31</f>
        <v>0</v>
      </c>
      <c r="ER31" s="109">
        <f>(M31-EJ31) *4.41</f>
        <v>28006.146000000004</v>
      </c>
      <c r="ES31" s="95">
        <v>27735.19</v>
      </c>
      <c r="ET31" s="110">
        <f t="shared" si="18"/>
        <v>270.95600000000559</v>
      </c>
      <c r="EU31" s="110">
        <f t="shared" si="16"/>
        <v>61.441269841271108</v>
      </c>
    </row>
    <row r="32" spans="1:151">
      <c r="A32" s="47">
        <v>25</v>
      </c>
      <c r="B32" s="90" t="s">
        <v>164</v>
      </c>
      <c r="C32" s="90">
        <v>167</v>
      </c>
      <c r="D32" s="91" t="s">
        <v>149</v>
      </c>
      <c r="E32" s="92" t="s">
        <v>150</v>
      </c>
      <c r="F32" s="93">
        <v>1976</v>
      </c>
      <c r="G32" s="93">
        <v>5</v>
      </c>
      <c r="H32" s="93">
        <v>4</v>
      </c>
      <c r="I32" s="94">
        <v>48</v>
      </c>
      <c r="J32" s="94">
        <v>96</v>
      </c>
      <c r="K32" s="94">
        <v>48</v>
      </c>
      <c r="L32" s="95">
        <f>[1]Ком.167!H57+[1]Ком.167!I57</f>
        <v>87</v>
      </c>
      <c r="M32" s="93">
        <f>[1]Ком.167!E60</f>
        <v>2031.8</v>
      </c>
      <c r="N32" s="93">
        <f>[1]Ком.167!E61</f>
        <v>136.30000000000001</v>
      </c>
      <c r="O32" s="96">
        <f t="shared" si="12"/>
        <v>2168.1</v>
      </c>
      <c r="P32" s="93"/>
      <c r="Q32" s="93"/>
      <c r="R32" s="97">
        <f>[1]Ком.167!F60</f>
        <v>1362.5000000000005</v>
      </c>
      <c r="S32" s="97">
        <f>[1]Ком.167!F61</f>
        <v>87.9</v>
      </c>
      <c r="T32" s="93">
        <f t="shared" si="13"/>
        <v>1450.4000000000005</v>
      </c>
      <c r="U32" s="93"/>
      <c r="V32" s="93"/>
      <c r="W32" s="99">
        <f t="shared" si="0"/>
        <v>2168.1</v>
      </c>
      <c r="X32" s="93">
        <f t="shared" si="1"/>
        <v>1450.4000000000005</v>
      </c>
      <c r="Y32" s="93">
        <f t="shared" si="2"/>
        <v>2168.1</v>
      </c>
      <c r="Z32" s="93">
        <f t="shared" si="2"/>
        <v>1450.4000000000005</v>
      </c>
      <c r="AA32" s="93"/>
      <c r="AB32" s="93"/>
      <c r="AC32" s="93">
        <f t="shared" si="19"/>
        <v>2168.1</v>
      </c>
      <c r="AD32" s="93">
        <f t="shared" si="19"/>
        <v>1450.4000000000005</v>
      </c>
      <c r="AE32" s="93"/>
      <c r="AF32" s="93"/>
      <c r="AG32" s="93"/>
      <c r="AH32" s="93"/>
      <c r="AI32" s="93"/>
      <c r="AJ32" s="93"/>
      <c r="AK32" s="93">
        <f t="shared" si="4"/>
        <v>2168.1</v>
      </c>
      <c r="AL32" s="93">
        <f t="shared" si="4"/>
        <v>1450.4000000000005</v>
      </c>
      <c r="AM32" s="93"/>
      <c r="AN32" s="93"/>
      <c r="AO32" s="93"/>
      <c r="AP32" s="93"/>
      <c r="AQ32" s="100">
        <f t="shared" si="20"/>
        <v>2168.1</v>
      </c>
      <c r="AR32" s="100">
        <f t="shared" si="20"/>
        <v>1450.4000000000005</v>
      </c>
      <c r="AS32" s="93">
        <v>1833.6</v>
      </c>
      <c r="AT32" s="93">
        <v>1221.9000000000001</v>
      </c>
      <c r="AU32" s="93"/>
      <c r="AV32" s="93"/>
      <c r="AW32" s="93"/>
      <c r="AX32" s="93"/>
      <c r="AY32" s="93">
        <v>41</v>
      </c>
      <c r="AZ32" s="93">
        <v>11930302</v>
      </c>
      <c r="BA32" s="93">
        <v>480.3</v>
      </c>
      <c r="BB32" s="93">
        <v>59.9</v>
      </c>
      <c r="BC32" s="93"/>
      <c r="BD32" s="93"/>
      <c r="BE32" s="93"/>
      <c r="BF32" s="93"/>
      <c r="BG32" s="93">
        <v>280.39999999999998</v>
      </c>
      <c r="BH32" s="93"/>
      <c r="BI32" s="93"/>
      <c r="BJ32" s="93"/>
      <c r="BK32" s="112"/>
      <c r="BL32" s="93"/>
      <c r="BM32" s="93"/>
      <c r="BN32" s="93"/>
      <c r="BO32" s="93"/>
      <c r="BP32" s="101">
        <f t="shared" si="6"/>
        <v>660.97979999999995</v>
      </c>
      <c r="BQ32" s="93"/>
      <c r="BR32" s="102"/>
      <c r="BS32" s="103">
        <f t="shared" si="22"/>
        <v>660.97979999999995</v>
      </c>
      <c r="BT32" s="103">
        <v>549.9</v>
      </c>
      <c r="BU32" s="93">
        <v>549.9</v>
      </c>
      <c r="BV32" s="93">
        <v>1586.1</v>
      </c>
      <c r="BW32" s="93"/>
      <c r="BX32" s="93"/>
      <c r="BY32" s="102"/>
      <c r="BZ32" s="104"/>
      <c r="CA32" s="104"/>
      <c r="CB32" s="104"/>
      <c r="CC32" s="113"/>
      <c r="CD32" s="113"/>
      <c r="CE32" s="113"/>
      <c r="CF32" s="113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4"/>
      <c r="CW32" s="114"/>
      <c r="CX32" s="112"/>
      <c r="CY32" s="112"/>
      <c r="CZ32" s="112"/>
      <c r="DA32" s="112"/>
      <c r="DB32" s="112"/>
      <c r="DC32" s="112"/>
      <c r="DD32" s="112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5"/>
      <c r="EC32" s="95">
        <f>21.6-0.72</f>
        <v>20.880000000000003</v>
      </c>
      <c r="ED32" s="95"/>
      <c r="EE32" s="106"/>
      <c r="EF32" s="106"/>
      <c r="EG32" s="95"/>
      <c r="EH32" s="95">
        <f t="shared" si="21"/>
        <v>2168.1</v>
      </c>
      <c r="EI32" s="95"/>
      <c r="EJ32" s="107"/>
      <c r="EK32" s="107"/>
      <c r="EL32" s="107">
        <f t="shared" si="23"/>
        <v>2168.1</v>
      </c>
      <c r="EM32" s="107"/>
      <c r="EN32" s="108">
        <f t="shared" si="15"/>
        <v>45269.928000000007</v>
      </c>
      <c r="EO32" s="108"/>
      <c r="EP32" s="109">
        <f t="shared" si="10"/>
        <v>0</v>
      </c>
      <c r="EQ32" s="109"/>
      <c r="ER32" s="110">
        <f>M32*EE32</f>
        <v>0</v>
      </c>
      <c r="ES32" s="95">
        <v>8440.33</v>
      </c>
      <c r="ET32" s="110">
        <f t="shared" si="18"/>
        <v>-8440.33</v>
      </c>
      <c r="EU32" s="110">
        <f t="shared" si="16"/>
        <v>-1913.9070294784581</v>
      </c>
    </row>
    <row r="33" spans="1:151">
      <c r="A33" s="47">
        <v>26</v>
      </c>
      <c r="B33" s="73" t="s">
        <v>164</v>
      </c>
      <c r="C33" s="73">
        <v>169</v>
      </c>
      <c r="D33" s="74" t="s">
        <v>149</v>
      </c>
      <c r="E33" s="116" t="s">
        <v>150</v>
      </c>
      <c r="F33" s="57">
        <v>1986</v>
      </c>
      <c r="G33" s="57">
        <v>5</v>
      </c>
      <c r="H33" s="57">
        <v>2</v>
      </c>
      <c r="I33" s="75">
        <v>38</v>
      </c>
      <c r="J33" s="75">
        <v>65</v>
      </c>
      <c r="K33" s="75">
        <v>37</v>
      </c>
      <c r="L33" s="133">
        <f>[1]Ком.169!H45+[1]Ком.169!I45</f>
        <v>71</v>
      </c>
      <c r="M33" s="57">
        <v>1723.6</v>
      </c>
      <c r="N33" s="57">
        <v>0</v>
      </c>
      <c r="O33" s="54">
        <f t="shared" si="12"/>
        <v>1723.6</v>
      </c>
      <c r="P33" s="76"/>
      <c r="Q33" s="76"/>
      <c r="R33" s="77">
        <v>1033.8</v>
      </c>
      <c r="S33" s="77">
        <v>0</v>
      </c>
      <c r="T33" s="57">
        <f t="shared" si="13"/>
        <v>1033.8</v>
      </c>
      <c r="U33" s="57"/>
      <c r="V33" s="57"/>
      <c r="W33" s="78">
        <f t="shared" si="0"/>
        <v>1723.6</v>
      </c>
      <c r="X33" s="76">
        <f t="shared" si="1"/>
        <v>1033.8</v>
      </c>
      <c r="Y33" s="76">
        <f t="shared" si="2"/>
        <v>1723.6</v>
      </c>
      <c r="Z33" s="76">
        <f t="shared" si="2"/>
        <v>1033.8</v>
      </c>
      <c r="AA33" s="76"/>
      <c r="AB33" s="76"/>
      <c r="AC33" s="76">
        <f t="shared" si="19"/>
        <v>1723.6</v>
      </c>
      <c r="AD33" s="57">
        <f t="shared" si="19"/>
        <v>1033.8</v>
      </c>
      <c r="AE33" s="57"/>
      <c r="AF33" s="57"/>
      <c r="AG33" s="57"/>
      <c r="AH33" s="57"/>
      <c r="AI33" s="57"/>
      <c r="AJ33" s="57"/>
      <c r="AK33" s="57">
        <f t="shared" si="4"/>
        <v>1723.6</v>
      </c>
      <c r="AL33" s="57">
        <f t="shared" si="4"/>
        <v>1033.8</v>
      </c>
      <c r="AM33" s="57"/>
      <c r="AN33" s="57"/>
      <c r="AO33" s="57"/>
      <c r="AP33" s="57"/>
      <c r="AQ33" s="169">
        <f t="shared" si="20"/>
        <v>1723.6</v>
      </c>
      <c r="AR33" s="169">
        <f t="shared" si="20"/>
        <v>1033.8</v>
      </c>
      <c r="AS33" s="57">
        <v>1473.1</v>
      </c>
      <c r="AT33" s="57">
        <v>880.1</v>
      </c>
      <c r="AU33" s="57"/>
      <c r="AV33" s="57"/>
      <c r="AW33" s="57">
        <v>1723.1</v>
      </c>
      <c r="AX33" s="57">
        <v>1033.8</v>
      </c>
      <c r="AY33" s="57">
        <v>32</v>
      </c>
      <c r="AZ33" s="57">
        <v>13925095</v>
      </c>
      <c r="BA33" s="57">
        <v>238.8</v>
      </c>
      <c r="BB33" s="57"/>
      <c r="BC33" s="57"/>
      <c r="BD33" s="57"/>
      <c r="BE33" s="57">
        <v>170.3</v>
      </c>
      <c r="BF33" s="57"/>
      <c r="BG33" s="57">
        <v>200</v>
      </c>
      <c r="BH33" s="57"/>
      <c r="BI33" s="57"/>
      <c r="BJ33" s="57"/>
      <c r="BK33" s="57"/>
      <c r="BL33" s="57"/>
      <c r="BM33" s="57"/>
      <c r="BN33" s="57"/>
      <c r="BO33" s="57"/>
      <c r="BP33" s="81">
        <f t="shared" si="6"/>
        <v>586.57600000000002</v>
      </c>
      <c r="BQ33" s="57"/>
      <c r="BR33" s="82"/>
      <c r="BS33" s="83">
        <f t="shared" si="22"/>
        <v>586.57600000000002</v>
      </c>
      <c r="BT33" s="83">
        <v>488</v>
      </c>
      <c r="BU33" s="57">
        <v>488</v>
      </c>
      <c r="BV33" s="132">
        <v>1734</v>
      </c>
      <c r="BW33" s="57"/>
      <c r="BX33" s="57"/>
      <c r="BY33" s="82"/>
      <c r="BZ33" s="57"/>
      <c r="CA33" s="57"/>
      <c r="CB33" s="57"/>
      <c r="CC33" s="82"/>
      <c r="CD33" s="82"/>
      <c r="CE33" s="82"/>
      <c r="CF33" s="82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84"/>
      <c r="CW33" s="84"/>
      <c r="CX33" s="57"/>
      <c r="CY33" s="57"/>
      <c r="CZ33" s="57"/>
      <c r="DA33" s="57"/>
      <c r="DB33" s="57"/>
      <c r="DC33" s="57"/>
      <c r="DD33" s="57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129"/>
      <c r="EC33" s="88">
        <v>22.01</v>
      </c>
      <c r="ED33" s="88"/>
      <c r="EE33" s="65"/>
      <c r="EF33" s="65"/>
      <c r="EG33" s="88"/>
      <c r="EH33" s="88">
        <v>1723.1</v>
      </c>
      <c r="EI33" s="88"/>
      <c r="EJ33" s="66"/>
      <c r="EK33" s="66"/>
      <c r="EL33" s="66">
        <f t="shared" si="23"/>
        <v>1723.6</v>
      </c>
      <c r="EM33" s="66"/>
      <c r="EN33" s="67">
        <f t="shared" si="15"/>
        <v>37925.431000000004</v>
      </c>
      <c r="EO33" s="67"/>
      <c r="EP33" s="68">
        <f t="shared" si="10"/>
        <v>0</v>
      </c>
      <c r="EQ33" s="68"/>
      <c r="ER33" s="69">
        <f>M33*EE33</f>
        <v>0</v>
      </c>
      <c r="ES33" s="89">
        <v>7296.81</v>
      </c>
      <c r="ET33" s="71">
        <f t="shared" si="18"/>
        <v>-7296.81</v>
      </c>
      <c r="EU33" s="71">
        <f t="shared" si="16"/>
        <v>-1654.6054421768708</v>
      </c>
    </row>
    <row r="34" spans="1:151">
      <c r="A34" s="47">
        <v>27</v>
      </c>
      <c r="B34" s="73" t="s">
        <v>164</v>
      </c>
      <c r="C34" s="73">
        <v>191</v>
      </c>
      <c r="D34" s="74" t="s">
        <v>149</v>
      </c>
      <c r="E34" s="116" t="s">
        <v>150</v>
      </c>
      <c r="F34" s="57">
        <v>1968</v>
      </c>
      <c r="G34" s="57">
        <v>5</v>
      </c>
      <c r="H34" s="57">
        <v>6</v>
      </c>
      <c r="I34" s="75">
        <v>88</v>
      </c>
      <c r="J34" s="75">
        <v>209</v>
      </c>
      <c r="K34" s="75">
        <v>88</v>
      </c>
      <c r="L34" s="133">
        <f>[1]Ком.191!H94+[1]Ком.191!I94</f>
        <v>179</v>
      </c>
      <c r="M34" s="57">
        <v>3636.9</v>
      </c>
      <c r="N34" s="57">
        <v>514.5</v>
      </c>
      <c r="O34" s="54">
        <f t="shared" si="12"/>
        <v>4151.3999999999996</v>
      </c>
      <c r="P34" s="76"/>
      <c r="Q34" s="76"/>
      <c r="R34" s="77">
        <v>2547.1</v>
      </c>
      <c r="S34" s="77">
        <v>361.6</v>
      </c>
      <c r="T34" s="57">
        <f t="shared" si="13"/>
        <v>2908.7</v>
      </c>
      <c r="U34" s="57"/>
      <c r="V34" s="57"/>
      <c r="W34" s="78">
        <f t="shared" si="0"/>
        <v>4151.3999999999996</v>
      </c>
      <c r="X34" s="76">
        <f t="shared" si="1"/>
        <v>2908.7</v>
      </c>
      <c r="Y34" s="76">
        <f t="shared" si="2"/>
        <v>4151.3999999999996</v>
      </c>
      <c r="Z34" s="76">
        <f t="shared" si="2"/>
        <v>2908.7</v>
      </c>
      <c r="AA34" s="76"/>
      <c r="AB34" s="76"/>
      <c r="AC34" s="76">
        <f t="shared" si="19"/>
        <v>4151.3999999999996</v>
      </c>
      <c r="AD34" s="57">
        <f t="shared" si="19"/>
        <v>2908.7</v>
      </c>
      <c r="AE34" s="57"/>
      <c r="AF34" s="57"/>
      <c r="AG34" s="57"/>
      <c r="AH34" s="57"/>
      <c r="AI34" s="57"/>
      <c r="AJ34" s="57"/>
      <c r="AK34" s="57">
        <f t="shared" si="4"/>
        <v>4151.3999999999996</v>
      </c>
      <c r="AL34" s="57">
        <f t="shared" si="4"/>
        <v>2908.7</v>
      </c>
      <c r="AM34" s="57"/>
      <c r="AN34" s="57"/>
      <c r="AO34" s="57"/>
      <c r="AP34" s="57"/>
      <c r="AQ34" s="79">
        <f t="shared" si="20"/>
        <v>4151.3999999999996</v>
      </c>
      <c r="AR34" s="79">
        <f t="shared" si="20"/>
        <v>2908.7</v>
      </c>
      <c r="AS34" s="57">
        <v>1624.3</v>
      </c>
      <c r="AT34" s="57">
        <v>1141.4000000000001</v>
      </c>
      <c r="AU34" s="57"/>
      <c r="AV34" s="57"/>
      <c r="AW34" s="57"/>
      <c r="AX34" s="57"/>
      <c r="AY34" s="57">
        <v>33</v>
      </c>
      <c r="AZ34" s="57">
        <v>11726703</v>
      </c>
      <c r="BA34" s="57"/>
      <c r="BB34" s="57">
        <f>60.5+61.3</f>
        <v>121.8</v>
      </c>
      <c r="BC34" s="57"/>
      <c r="BD34" s="57"/>
      <c r="BE34" s="57">
        <v>121.7</v>
      </c>
      <c r="BF34" s="57"/>
      <c r="BG34" s="57">
        <v>360</v>
      </c>
      <c r="BH34" s="57"/>
      <c r="BI34" s="57"/>
      <c r="BJ34" s="57"/>
      <c r="BK34" s="80"/>
      <c r="BL34" s="57"/>
      <c r="BM34" s="57"/>
      <c r="BN34" s="57"/>
      <c r="BO34" s="57"/>
      <c r="BP34" s="81">
        <f t="shared" si="6"/>
        <v>1065.5729999999999</v>
      </c>
      <c r="BQ34" s="57"/>
      <c r="BR34" s="82"/>
      <c r="BS34" s="83">
        <f t="shared" si="22"/>
        <v>1065.5729999999999</v>
      </c>
      <c r="BT34" s="83">
        <v>886.5</v>
      </c>
      <c r="BU34" s="57">
        <v>886.5</v>
      </c>
      <c r="BV34" s="57">
        <v>4768.5</v>
      </c>
      <c r="BW34" s="57"/>
      <c r="BX34" s="57"/>
      <c r="BY34" s="82"/>
      <c r="BZ34" s="84"/>
      <c r="CA34" s="84"/>
      <c r="CB34" s="84"/>
      <c r="CC34" s="85"/>
      <c r="CD34" s="85"/>
      <c r="CE34" s="85"/>
      <c r="CF34" s="85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6"/>
      <c r="CW34" s="86"/>
      <c r="CX34" s="80"/>
      <c r="CY34" s="80"/>
      <c r="CZ34" s="80"/>
      <c r="DA34" s="80"/>
      <c r="DB34" s="80"/>
      <c r="DC34" s="80"/>
      <c r="DD34" s="80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7"/>
      <c r="EC34" s="88">
        <f>21.6-0.72</f>
        <v>20.880000000000003</v>
      </c>
      <c r="ED34" s="88"/>
      <c r="EE34" s="65"/>
      <c r="EF34" s="65"/>
      <c r="EG34" s="88"/>
      <c r="EH34" s="88">
        <f>O34</f>
        <v>4151.3999999999996</v>
      </c>
      <c r="EI34" s="88"/>
      <c r="EJ34" s="66"/>
      <c r="EK34" s="66"/>
      <c r="EL34" s="66">
        <f t="shared" si="23"/>
        <v>4151.3999999999996</v>
      </c>
      <c r="EM34" s="66"/>
      <c r="EN34" s="67">
        <f t="shared" si="15"/>
        <v>86681.232000000004</v>
      </c>
      <c r="EO34" s="67"/>
      <c r="EP34" s="68">
        <f t="shared" si="10"/>
        <v>0</v>
      </c>
      <c r="EQ34" s="68"/>
      <c r="ER34" s="69">
        <f>M34*EE34</f>
        <v>0</v>
      </c>
      <c r="ES34" s="71">
        <v>14368.23</v>
      </c>
      <c r="ET34" s="71">
        <f t="shared" si="18"/>
        <v>-14368.23</v>
      </c>
      <c r="EU34" s="71">
        <f t="shared" si="16"/>
        <v>-3258.1020408163263</v>
      </c>
    </row>
    <row r="35" spans="1:151">
      <c r="A35" s="47">
        <v>28</v>
      </c>
      <c r="B35" s="73" t="s">
        <v>164</v>
      </c>
      <c r="C35" s="73">
        <v>193</v>
      </c>
      <c r="D35" s="74" t="s">
        <v>149</v>
      </c>
      <c r="E35" s="116" t="s">
        <v>150</v>
      </c>
      <c r="F35" s="80">
        <v>1967</v>
      </c>
      <c r="G35" s="57">
        <v>5</v>
      </c>
      <c r="H35" s="57">
        <v>4</v>
      </c>
      <c r="I35" s="117">
        <v>59</v>
      </c>
      <c r="J35" s="117">
        <v>117</v>
      </c>
      <c r="K35" s="117">
        <v>59</v>
      </c>
      <c r="L35" s="133">
        <f>[1]Ком.193!H67+[1]Ком.193!I67</f>
        <v>126</v>
      </c>
      <c r="M35" s="80">
        <v>2563.8000000000002</v>
      </c>
      <c r="N35" s="80">
        <f>[1]Ком.193!E71</f>
        <v>44</v>
      </c>
      <c r="O35" s="54">
        <f t="shared" si="12"/>
        <v>2607.8000000000002</v>
      </c>
      <c r="P35" s="119"/>
      <c r="Q35" s="119"/>
      <c r="R35" s="77">
        <f>[1]Ком.193!F70</f>
        <v>1760.5700000000004</v>
      </c>
      <c r="S35" s="77">
        <f>[1]Ком.193!F71</f>
        <v>29.6</v>
      </c>
      <c r="T35" s="57">
        <f t="shared" si="13"/>
        <v>1790.1700000000003</v>
      </c>
      <c r="U35" s="80"/>
      <c r="V35" s="80"/>
      <c r="W35" s="78">
        <f t="shared" si="0"/>
        <v>2607.8000000000002</v>
      </c>
      <c r="X35" s="76">
        <f t="shared" si="1"/>
        <v>1790.1700000000003</v>
      </c>
      <c r="Y35" s="76">
        <f t="shared" si="2"/>
        <v>2607.8000000000002</v>
      </c>
      <c r="Z35" s="76">
        <f t="shared" si="2"/>
        <v>1790.1700000000003</v>
      </c>
      <c r="AA35" s="119"/>
      <c r="AB35" s="119"/>
      <c r="AC35" s="76">
        <f t="shared" si="19"/>
        <v>2607.8000000000002</v>
      </c>
      <c r="AD35" s="57">
        <f t="shared" si="19"/>
        <v>1790.1700000000003</v>
      </c>
      <c r="AE35" s="80"/>
      <c r="AF35" s="80"/>
      <c r="AG35" s="80"/>
      <c r="AH35" s="80"/>
      <c r="AI35" s="80"/>
      <c r="AJ35" s="80"/>
      <c r="AK35" s="57">
        <f t="shared" si="4"/>
        <v>2607.8000000000002</v>
      </c>
      <c r="AL35" s="57">
        <f t="shared" si="4"/>
        <v>1790.1700000000003</v>
      </c>
      <c r="AM35" s="80"/>
      <c r="AN35" s="80"/>
      <c r="AO35" s="80"/>
      <c r="AP35" s="80"/>
      <c r="AQ35" s="79">
        <f t="shared" si="20"/>
        <v>2607.8000000000002</v>
      </c>
      <c r="AR35" s="79">
        <f t="shared" si="20"/>
        <v>1790.1700000000003</v>
      </c>
      <c r="AS35" s="80">
        <v>389.6</v>
      </c>
      <c r="AT35" s="80">
        <v>276.10000000000002</v>
      </c>
      <c r="AU35" s="80"/>
      <c r="AV35" s="80"/>
      <c r="AW35" s="80"/>
      <c r="AX35" s="80"/>
      <c r="AY35" s="80">
        <v>8</v>
      </c>
      <c r="AZ35" s="80">
        <v>14028779</v>
      </c>
      <c r="BA35" s="80"/>
      <c r="BB35" s="80">
        <f>61.3+44.1</f>
        <v>105.4</v>
      </c>
      <c r="BC35" s="80"/>
      <c r="BD35" s="80"/>
      <c r="BE35" s="80"/>
      <c r="BF35" s="80"/>
      <c r="BG35" s="80">
        <v>240</v>
      </c>
      <c r="BH35" s="80"/>
      <c r="BI35" s="80"/>
      <c r="BJ35" s="80"/>
      <c r="BK35" s="57"/>
      <c r="BL35" s="80"/>
      <c r="BM35" s="80"/>
      <c r="BN35" s="80"/>
      <c r="BO35" s="80"/>
      <c r="BP35" s="81">
        <f t="shared" si="6"/>
        <v>657.01319999999998</v>
      </c>
      <c r="BQ35" s="80"/>
      <c r="BR35" s="120"/>
      <c r="BS35" s="83">
        <f t="shared" si="22"/>
        <v>657.01319999999998</v>
      </c>
      <c r="BT35" s="83">
        <v>546.6</v>
      </c>
      <c r="BU35" s="80">
        <v>546.6</v>
      </c>
      <c r="BV35" s="80">
        <v>2727.4</v>
      </c>
      <c r="BW35" s="80"/>
      <c r="BX35" s="80"/>
      <c r="BY35" s="120"/>
      <c r="BZ35" s="86"/>
      <c r="CA35" s="121"/>
      <c r="CB35" s="86"/>
      <c r="CC35" s="120"/>
      <c r="CD35" s="120"/>
      <c r="CE35" s="120"/>
      <c r="CF35" s="120"/>
      <c r="CG35" s="80"/>
      <c r="CH35" s="117"/>
      <c r="CI35" s="80"/>
      <c r="CJ35" s="80"/>
      <c r="CK35" s="80"/>
      <c r="CL35" s="80"/>
      <c r="CM35" s="80"/>
      <c r="CN35" s="80"/>
      <c r="CO35" s="80"/>
      <c r="CP35" s="80"/>
      <c r="CQ35" s="80"/>
      <c r="CR35" s="120"/>
      <c r="CS35" s="80"/>
      <c r="CT35" s="80"/>
      <c r="CU35" s="80"/>
      <c r="CV35" s="86"/>
      <c r="CW35" s="117"/>
      <c r="CX35" s="117"/>
      <c r="CY35" s="80"/>
      <c r="CZ35" s="80"/>
      <c r="DA35" s="80"/>
      <c r="DB35" s="80"/>
      <c r="DC35" s="120"/>
      <c r="DD35" s="120"/>
      <c r="DE35" s="80"/>
      <c r="DF35" s="80"/>
      <c r="DG35" s="80"/>
      <c r="DH35" s="120"/>
      <c r="DI35" s="80"/>
      <c r="DJ35" s="80"/>
      <c r="DK35" s="80"/>
      <c r="DL35" s="80"/>
      <c r="DM35" s="80"/>
      <c r="DN35" s="117"/>
      <c r="DO35" s="80"/>
      <c r="DP35" s="117"/>
      <c r="DQ35" s="117"/>
      <c r="DR35" s="80"/>
      <c r="DS35" s="120"/>
      <c r="DT35" s="120"/>
      <c r="DU35" s="80"/>
      <c r="DV35" s="86"/>
      <c r="DW35" s="80"/>
      <c r="DX35" s="120"/>
      <c r="DY35" s="80"/>
      <c r="DZ35" s="80"/>
      <c r="EA35" s="80"/>
      <c r="EB35" s="122"/>
      <c r="EC35" s="88">
        <f>21.6-0.72</f>
        <v>20.880000000000003</v>
      </c>
      <c r="ED35" s="88"/>
      <c r="EE35" s="65"/>
      <c r="EF35" s="65"/>
      <c r="EG35" s="88"/>
      <c r="EH35" s="88">
        <f>O35</f>
        <v>2607.8000000000002</v>
      </c>
      <c r="EI35" s="88"/>
      <c r="EJ35" s="66"/>
      <c r="EK35" s="66"/>
      <c r="EL35" s="66">
        <f t="shared" si="23"/>
        <v>2607.8000000000002</v>
      </c>
      <c r="EM35" s="66"/>
      <c r="EN35" s="67">
        <f t="shared" si="15"/>
        <v>54450.864000000009</v>
      </c>
      <c r="EO35" s="67"/>
      <c r="EP35" s="68">
        <f t="shared" si="10"/>
        <v>0</v>
      </c>
      <c r="EQ35" s="68"/>
      <c r="ER35" s="69">
        <f>M35*EE35</f>
        <v>0</v>
      </c>
      <c r="ES35" s="89">
        <v>10262.959999999999</v>
      </c>
      <c r="ET35" s="71">
        <f t="shared" si="18"/>
        <v>-10262.959999999999</v>
      </c>
      <c r="EU35" s="71">
        <f t="shared" si="16"/>
        <v>-2327.2018140589566</v>
      </c>
    </row>
    <row r="36" spans="1:151">
      <c r="A36" s="47">
        <v>29</v>
      </c>
      <c r="B36" s="170" t="s">
        <v>164</v>
      </c>
      <c r="C36" s="170">
        <v>195</v>
      </c>
      <c r="D36" s="171" t="s">
        <v>155</v>
      </c>
      <c r="E36" s="57" t="s">
        <v>150</v>
      </c>
      <c r="F36" s="118">
        <v>1988</v>
      </c>
      <c r="G36" s="118">
        <v>9</v>
      </c>
      <c r="H36" s="118">
        <v>1</v>
      </c>
      <c r="I36" s="75">
        <v>42</v>
      </c>
      <c r="J36" s="75">
        <v>83</v>
      </c>
      <c r="K36" s="75">
        <v>42</v>
      </c>
      <c r="L36" s="133">
        <f>[1]Ком.195!H48+[1]Ком.195!I48</f>
        <v>91</v>
      </c>
      <c r="M36" s="118">
        <f>[1]Ком.195!E51</f>
        <v>1852.9999999999995</v>
      </c>
      <c r="N36" s="118">
        <f>[1]Ком.195!E52</f>
        <v>218.9</v>
      </c>
      <c r="O36" s="54">
        <f t="shared" si="12"/>
        <v>2071.8999999999996</v>
      </c>
      <c r="P36" s="118"/>
      <c r="Q36" s="118"/>
      <c r="R36" s="77">
        <f>[1]Ком.195!F51</f>
        <v>1120.0999999999997</v>
      </c>
      <c r="S36" s="77">
        <f>[1]Ком.195!F52</f>
        <v>136.1</v>
      </c>
      <c r="T36" s="57">
        <f t="shared" si="13"/>
        <v>1256.1999999999996</v>
      </c>
      <c r="U36" s="118"/>
      <c r="V36" s="118"/>
      <c r="W36" s="172">
        <f t="shared" si="0"/>
        <v>2071.8999999999996</v>
      </c>
      <c r="X36" s="118">
        <f t="shared" si="1"/>
        <v>1256.1999999999996</v>
      </c>
      <c r="Y36" s="118">
        <f t="shared" si="2"/>
        <v>2071.8999999999996</v>
      </c>
      <c r="Z36" s="118">
        <f t="shared" si="2"/>
        <v>1256.1999999999996</v>
      </c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>
        <f t="shared" si="4"/>
        <v>2071.8999999999996</v>
      </c>
      <c r="AL36" s="118">
        <f t="shared" si="4"/>
        <v>1256.1999999999996</v>
      </c>
      <c r="AM36" s="118"/>
      <c r="AN36" s="118"/>
      <c r="AO36" s="118">
        <v>2101</v>
      </c>
      <c r="AP36" s="118">
        <v>1274.0999999999999</v>
      </c>
      <c r="AQ36" s="118"/>
      <c r="AR36" s="118"/>
      <c r="AS36" s="118">
        <v>1800.5</v>
      </c>
      <c r="AT36" s="118">
        <v>1098.2</v>
      </c>
      <c r="AU36" s="118">
        <v>2101</v>
      </c>
      <c r="AV36" s="118">
        <v>1274.0999999999999</v>
      </c>
      <c r="AW36" s="118">
        <v>2101</v>
      </c>
      <c r="AX36" s="118">
        <v>1274.0999999999999</v>
      </c>
      <c r="AY36" s="118">
        <v>35</v>
      </c>
      <c r="AZ36" s="118">
        <v>23723713</v>
      </c>
      <c r="BA36" s="118">
        <v>250.9</v>
      </c>
      <c r="BB36" s="118"/>
      <c r="BC36" s="118"/>
      <c r="BD36" s="118">
        <v>3.4</v>
      </c>
      <c r="BE36" s="118"/>
      <c r="BF36" s="118"/>
      <c r="BG36" s="118">
        <v>443</v>
      </c>
      <c r="BH36" s="118"/>
      <c r="BI36" s="118"/>
      <c r="BJ36" s="118">
        <v>443</v>
      </c>
      <c r="BK36" s="173"/>
      <c r="BL36" s="118"/>
      <c r="BM36" s="118"/>
      <c r="BN36" s="118"/>
      <c r="BO36" s="118"/>
      <c r="BP36" s="81">
        <f t="shared" si="6"/>
        <v>365.64839999999998</v>
      </c>
      <c r="BQ36" s="174">
        <f>BP36</f>
        <v>365.64839999999998</v>
      </c>
      <c r="BR36" s="82"/>
      <c r="BS36" s="83"/>
      <c r="BT36" s="83">
        <v>304.2</v>
      </c>
      <c r="BU36" s="118">
        <v>264.60000000000002</v>
      </c>
      <c r="BV36" s="118">
        <v>1242.3</v>
      </c>
      <c r="BW36" s="118"/>
      <c r="BX36" s="118"/>
      <c r="BY36" s="82"/>
      <c r="BZ36" s="175"/>
      <c r="CA36" s="175"/>
      <c r="CB36" s="175"/>
      <c r="CC36" s="85"/>
      <c r="CD36" s="85"/>
      <c r="CE36" s="85"/>
      <c r="CF36" s="85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6"/>
      <c r="CW36" s="176"/>
      <c r="CX36" s="173"/>
      <c r="CY36" s="173"/>
      <c r="CZ36" s="173"/>
      <c r="DA36" s="173"/>
      <c r="DB36" s="173"/>
      <c r="DC36" s="173"/>
      <c r="DD36" s="173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7"/>
      <c r="EC36" s="178">
        <f>37.36-1.6</f>
        <v>35.76</v>
      </c>
      <c r="ED36" s="178">
        <f>24.87-1.6</f>
        <v>23.27</v>
      </c>
      <c r="EE36" s="65"/>
      <c r="EF36" s="65"/>
      <c r="EG36" s="178">
        <f>37.36-1.6</f>
        <v>35.76</v>
      </c>
      <c r="EH36" s="178">
        <v>284.60000000000002</v>
      </c>
      <c r="EI36" s="178"/>
      <c r="EJ36" s="179"/>
      <c r="EK36" s="179">
        <v>1767</v>
      </c>
      <c r="EL36" s="66">
        <f t="shared" si="23"/>
        <v>2071.8999999999996</v>
      </c>
      <c r="EM36" s="179"/>
      <c r="EN36" s="67">
        <f t="shared" si="15"/>
        <v>10177.296</v>
      </c>
      <c r="EO36" s="180">
        <f>EG36*EK36</f>
        <v>63187.92</v>
      </c>
      <c r="EP36" s="68">
        <f t="shared" si="10"/>
        <v>0</v>
      </c>
      <c r="EQ36" s="68">
        <f>EF36*EI36</f>
        <v>0</v>
      </c>
      <c r="ER36" s="69">
        <f>(M36-EJ36)*4.41</f>
        <v>8171.7299999999987</v>
      </c>
      <c r="ES36" s="178">
        <v>8071.15</v>
      </c>
      <c r="ET36" s="71">
        <f t="shared" si="18"/>
        <v>100.57999999999902</v>
      </c>
      <c r="EU36" s="71">
        <f t="shared" si="16"/>
        <v>22.807256235827442</v>
      </c>
    </row>
    <row r="37" spans="1:151">
      <c r="A37" s="47">
        <v>30</v>
      </c>
      <c r="B37" s="90" t="s">
        <v>164</v>
      </c>
      <c r="C37" s="90" t="s">
        <v>165</v>
      </c>
      <c r="D37" s="91" t="s">
        <v>149</v>
      </c>
      <c r="E37" s="92" t="s">
        <v>150</v>
      </c>
      <c r="F37" s="112">
        <v>1976</v>
      </c>
      <c r="G37" s="93">
        <v>5</v>
      </c>
      <c r="H37" s="93">
        <v>8</v>
      </c>
      <c r="I37" s="124">
        <v>118</v>
      </c>
      <c r="J37" s="124">
        <v>238</v>
      </c>
      <c r="K37" s="124">
        <v>120</v>
      </c>
      <c r="L37" s="95">
        <f>[1]Ком.167А!H128+[1]Ком.167А!I128</f>
        <v>237</v>
      </c>
      <c r="M37" s="112">
        <v>5084.2</v>
      </c>
      <c r="N37" s="112">
        <v>272.7</v>
      </c>
      <c r="O37" s="96">
        <f t="shared" si="12"/>
        <v>5356.9</v>
      </c>
      <c r="P37" s="112"/>
      <c r="Q37" s="112"/>
      <c r="R37" s="97">
        <v>3428.3</v>
      </c>
      <c r="S37" s="97">
        <v>182.2</v>
      </c>
      <c r="T37" s="93">
        <f t="shared" si="13"/>
        <v>3610.5</v>
      </c>
      <c r="U37" s="112"/>
      <c r="V37" s="112"/>
      <c r="W37" s="99">
        <f t="shared" si="0"/>
        <v>5356.9</v>
      </c>
      <c r="X37" s="93">
        <f t="shared" si="1"/>
        <v>3610.5</v>
      </c>
      <c r="Y37" s="93">
        <f t="shared" si="2"/>
        <v>5356.9</v>
      </c>
      <c r="Z37" s="93">
        <f t="shared" si="2"/>
        <v>3610.5</v>
      </c>
      <c r="AA37" s="112"/>
      <c r="AB37" s="112"/>
      <c r="AC37" s="93">
        <f t="shared" ref="AC37:AD64" si="24">Y37</f>
        <v>5356.9</v>
      </c>
      <c r="AD37" s="93">
        <f t="shared" si="24"/>
        <v>3610.5</v>
      </c>
      <c r="AE37" s="112"/>
      <c r="AF37" s="112"/>
      <c r="AG37" s="112"/>
      <c r="AH37" s="112"/>
      <c r="AI37" s="112"/>
      <c r="AJ37" s="112"/>
      <c r="AK37" s="93">
        <f t="shared" si="4"/>
        <v>5356.9</v>
      </c>
      <c r="AL37" s="93">
        <f t="shared" si="4"/>
        <v>3610.5</v>
      </c>
      <c r="AM37" s="112"/>
      <c r="AN37" s="112"/>
      <c r="AO37" s="112"/>
      <c r="AP37" s="112"/>
      <c r="AQ37" s="100">
        <f t="shared" ref="AQ37:AR62" si="25">Y37</f>
        <v>5356.9</v>
      </c>
      <c r="AR37" s="100">
        <f t="shared" si="25"/>
        <v>3610.5</v>
      </c>
      <c r="AS37" s="112">
        <v>4313</v>
      </c>
      <c r="AT37" s="112">
        <v>2914.9</v>
      </c>
      <c r="AU37" s="112"/>
      <c r="AV37" s="112"/>
      <c r="AW37" s="112"/>
      <c r="AX37" s="112"/>
      <c r="AY37" s="112">
        <v>95</v>
      </c>
      <c r="AZ37" s="112">
        <v>23135035</v>
      </c>
      <c r="BA37" s="112"/>
      <c r="BB37" s="112"/>
      <c r="BC37" s="112">
        <v>14</v>
      </c>
      <c r="BD37" s="112"/>
      <c r="BE37" s="112">
        <v>43.5</v>
      </c>
      <c r="BF37" s="112"/>
      <c r="BG37" s="112">
        <v>554.5</v>
      </c>
      <c r="BH37" s="112"/>
      <c r="BI37" s="112"/>
      <c r="BJ37" s="112"/>
      <c r="BK37" s="93">
        <v>200</v>
      </c>
      <c r="BL37" s="112"/>
      <c r="BM37" s="112"/>
      <c r="BN37" s="112"/>
      <c r="BO37" s="112"/>
      <c r="BP37" s="101">
        <f t="shared" si="6"/>
        <v>1305.3719999999998</v>
      </c>
      <c r="BQ37" s="112"/>
      <c r="BR37" s="125"/>
      <c r="BS37" s="103">
        <f>BP37</f>
        <v>1305.3719999999998</v>
      </c>
      <c r="BT37" s="103">
        <v>1086</v>
      </c>
      <c r="BU37" s="112">
        <v>1086</v>
      </c>
      <c r="BV37" s="112">
        <v>4439.8999999999996</v>
      </c>
      <c r="BW37" s="112"/>
      <c r="BX37" s="112"/>
      <c r="BY37" s="125"/>
      <c r="BZ37" s="114"/>
      <c r="CA37" s="127"/>
      <c r="CB37" s="114"/>
      <c r="CC37" s="125"/>
      <c r="CD37" s="125"/>
      <c r="CE37" s="125"/>
      <c r="CF37" s="125"/>
      <c r="CG37" s="112"/>
      <c r="CH37" s="124"/>
      <c r="CI37" s="112"/>
      <c r="CJ37" s="112"/>
      <c r="CK37" s="112"/>
      <c r="CL37" s="112"/>
      <c r="CM37" s="112"/>
      <c r="CN37" s="112"/>
      <c r="CO37" s="112"/>
      <c r="CP37" s="112"/>
      <c r="CQ37" s="112"/>
      <c r="CR37" s="125"/>
      <c r="CS37" s="112"/>
      <c r="CT37" s="112"/>
      <c r="CU37" s="112"/>
      <c r="CV37" s="114"/>
      <c r="CW37" s="124"/>
      <c r="CX37" s="124"/>
      <c r="CY37" s="112"/>
      <c r="CZ37" s="112"/>
      <c r="DA37" s="112"/>
      <c r="DB37" s="112"/>
      <c r="DC37" s="125"/>
      <c r="DD37" s="125"/>
      <c r="DE37" s="112"/>
      <c r="DF37" s="112"/>
      <c r="DG37" s="112"/>
      <c r="DH37" s="125"/>
      <c r="DI37" s="112"/>
      <c r="DJ37" s="112"/>
      <c r="DK37" s="112"/>
      <c r="DL37" s="112"/>
      <c r="DM37" s="112"/>
      <c r="DN37" s="124"/>
      <c r="DO37" s="112"/>
      <c r="DP37" s="124"/>
      <c r="DQ37" s="124"/>
      <c r="DR37" s="112"/>
      <c r="DS37" s="125"/>
      <c r="DT37" s="125"/>
      <c r="DU37" s="112"/>
      <c r="DV37" s="114"/>
      <c r="DW37" s="112"/>
      <c r="DX37" s="125"/>
      <c r="DY37" s="112"/>
      <c r="DZ37" s="112"/>
      <c r="EA37" s="112"/>
      <c r="EB37" s="128"/>
      <c r="EC37" s="95">
        <f>21.6-0.72</f>
        <v>20.880000000000003</v>
      </c>
      <c r="ED37" s="95"/>
      <c r="EE37" s="106"/>
      <c r="EF37" s="106"/>
      <c r="EG37" s="95"/>
      <c r="EH37" s="95">
        <f t="shared" ref="EH37:EH46" si="26">O37</f>
        <v>5356.9</v>
      </c>
      <c r="EI37" s="95"/>
      <c r="EJ37" s="107"/>
      <c r="EK37" s="107"/>
      <c r="EL37" s="107">
        <f t="shared" si="23"/>
        <v>5356.9</v>
      </c>
      <c r="EM37" s="107"/>
      <c r="EN37" s="108">
        <f>(EH37-EJ37)*EC37</f>
        <v>111852.072</v>
      </c>
      <c r="EO37" s="108"/>
      <c r="EP37" s="109">
        <f t="shared" si="10"/>
        <v>0</v>
      </c>
      <c r="EQ37" s="109">
        <f>EF37*10.6</f>
        <v>0</v>
      </c>
      <c r="ER37" s="109">
        <f>(M37-18.8) *4.41</f>
        <v>22338.414000000001</v>
      </c>
      <c r="ES37" s="95">
        <v>20637.77</v>
      </c>
      <c r="ET37" s="110">
        <f t="shared" si="18"/>
        <v>1700.6440000000002</v>
      </c>
      <c r="EU37" s="110">
        <f t="shared" si="16"/>
        <v>385.63356009070299</v>
      </c>
    </row>
    <row r="38" spans="1:151">
      <c r="A38" s="47">
        <v>31</v>
      </c>
      <c r="B38" s="136" t="s">
        <v>166</v>
      </c>
      <c r="C38" s="136">
        <v>13</v>
      </c>
      <c r="D38" s="137" t="s">
        <v>149</v>
      </c>
      <c r="E38" s="138" t="s">
        <v>150</v>
      </c>
      <c r="F38" s="142">
        <v>1979</v>
      </c>
      <c r="G38" s="140">
        <v>5</v>
      </c>
      <c r="H38" s="140">
        <v>4</v>
      </c>
      <c r="I38" s="141">
        <v>58</v>
      </c>
      <c r="J38" s="141">
        <v>112</v>
      </c>
      <c r="K38" s="141">
        <v>59</v>
      </c>
      <c r="L38" s="53">
        <f>'[1]Сахалинская 13'!H64+'[1]Сахалинская 13'!I64</f>
        <v>122</v>
      </c>
      <c r="M38" s="142">
        <f>'[1]Сахалинская 13'!E67</f>
        <v>2488.3999999999992</v>
      </c>
      <c r="N38" s="142">
        <f>'[1]Сахалинская 13'!E68</f>
        <v>103.80000000000001</v>
      </c>
      <c r="O38" s="143">
        <f t="shared" si="12"/>
        <v>2592.1999999999994</v>
      </c>
      <c r="P38" s="142"/>
      <c r="Q38" s="142"/>
      <c r="R38" s="144">
        <f>'[1]Сахалинская 13'!F67</f>
        <v>1673.5999999999997</v>
      </c>
      <c r="S38" s="144">
        <f>'[1]Сахалинская 13'!F68</f>
        <v>74.099999999999994</v>
      </c>
      <c r="T38" s="140">
        <f>R38+S38</f>
        <v>1747.6999999999996</v>
      </c>
      <c r="U38" s="142"/>
      <c r="V38" s="142"/>
      <c r="W38" s="145">
        <f t="shared" si="0"/>
        <v>2592.1999999999994</v>
      </c>
      <c r="X38" s="140">
        <f t="shared" si="1"/>
        <v>1747.6999999999996</v>
      </c>
      <c r="Y38" s="140">
        <f t="shared" si="2"/>
        <v>2592.1999999999994</v>
      </c>
      <c r="Z38" s="140">
        <f t="shared" si="2"/>
        <v>1747.6999999999996</v>
      </c>
      <c r="AA38" s="142"/>
      <c r="AB38" s="142"/>
      <c r="AC38" s="140">
        <f t="shared" si="24"/>
        <v>2592.1999999999994</v>
      </c>
      <c r="AD38" s="140">
        <f t="shared" si="24"/>
        <v>1747.6999999999996</v>
      </c>
      <c r="AE38" s="142"/>
      <c r="AF38" s="142"/>
      <c r="AG38" s="142"/>
      <c r="AH38" s="142"/>
      <c r="AI38" s="142"/>
      <c r="AJ38" s="142"/>
      <c r="AK38" s="140">
        <f t="shared" si="4"/>
        <v>2592.1999999999994</v>
      </c>
      <c r="AL38" s="140">
        <f t="shared" si="4"/>
        <v>1747.6999999999996</v>
      </c>
      <c r="AM38" s="142"/>
      <c r="AN38" s="142"/>
      <c r="AO38" s="142"/>
      <c r="AP38" s="142"/>
      <c r="AQ38" s="146"/>
      <c r="AR38" s="146"/>
      <c r="AS38" s="142"/>
      <c r="AT38" s="142"/>
      <c r="AU38" s="142"/>
      <c r="AV38" s="142"/>
      <c r="AW38" s="142"/>
      <c r="AX38" s="142"/>
      <c r="AY38" s="142"/>
      <c r="AZ38" s="142">
        <v>890200</v>
      </c>
      <c r="BA38" s="142"/>
      <c r="BB38" s="142">
        <v>72.8</v>
      </c>
      <c r="BC38" s="142"/>
      <c r="BD38" s="142"/>
      <c r="BE38" s="142"/>
      <c r="BF38" s="142"/>
      <c r="BG38" s="142">
        <v>360</v>
      </c>
      <c r="BH38" s="142"/>
      <c r="BI38" s="142"/>
      <c r="BJ38" s="142"/>
      <c r="BK38" s="140"/>
      <c r="BL38" s="142"/>
      <c r="BM38" s="142"/>
      <c r="BN38" s="142"/>
      <c r="BO38" s="142"/>
      <c r="BP38" s="147">
        <f t="shared" si="6"/>
        <v>633.9348</v>
      </c>
      <c r="BQ38" s="142"/>
      <c r="BR38" s="148"/>
      <c r="BS38" s="149">
        <f>BP38</f>
        <v>633.9348</v>
      </c>
      <c r="BT38" s="149">
        <v>527.4</v>
      </c>
      <c r="BU38" s="142">
        <v>527.4</v>
      </c>
      <c r="BV38" s="142">
        <v>3313.75</v>
      </c>
      <c r="BW38" s="142"/>
      <c r="BX38" s="181" t="s">
        <v>167</v>
      </c>
      <c r="BY38" s="148"/>
      <c r="BZ38" s="150"/>
      <c r="CA38" s="151"/>
      <c r="CB38" s="150"/>
      <c r="CC38" s="148"/>
      <c r="CD38" s="148"/>
      <c r="CE38" s="148"/>
      <c r="CF38" s="148"/>
      <c r="CG38" s="142"/>
      <c r="CH38" s="141"/>
      <c r="CI38" s="142"/>
      <c r="CJ38" s="142"/>
      <c r="CK38" s="142"/>
      <c r="CL38" s="142"/>
      <c r="CM38" s="142"/>
      <c r="CN38" s="142"/>
      <c r="CO38" s="142"/>
      <c r="CP38" s="142"/>
      <c r="CQ38" s="142"/>
      <c r="CR38" s="148"/>
      <c r="CS38" s="142"/>
      <c r="CT38" s="142"/>
      <c r="CU38" s="142"/>
      <c r="CV38" s="150"/>
      <c r="CW38" s="141"/>
      <c r="CX38" s="141"/>
      <c r="CY38" s="142"/>
      <c r="CZ38" s="142"/>
      <c r="DA38" s="142"/>
      <c r="DB38" s="142"/>
      <c r="DC38" s="148"/>
      <c r="DD38" s="148"/>
      <c r="DE38" s="142"/>
      <c r="DF38" s="142"/>
      <c r="DG38" s="142"/>
      <c r="DH38" s="148"/>
      <c r="DI38" s="142"/>
      <c r="DJ38" s="142"/>
      <c r="DK38" s="142"/>
      <c r="DL38" s="142"/>
      <c r="DM38" s="142"/>
      <c r="DN38" s="141"/>
      <c r="DO38" s="142"/>
      <c r="DP38" s="141"/>
      <c r="DQ38" s="141"/>
      <c r="DR38" s="142"/>
      <c r="DS38" s="148"/>
      <c r="DT38" s="148"/>
      <c r="DU38" s="142"/>
      <c r="DV38" s="150"/>
      <c r="DW38" s="142"/>
      <c r="DX38" s="148"/>
      <c r="DY38" s="142"/>
      <c r="DZ38" s="142"/>
      <c r="EA38" s="142"/>
      <c r="EB38" s="152"/>
      <c r="EC38" s="53">
        <f>22.45-0.72</f>
        <v>21.73</v>
      </c>
      <c r="ED38" s="53"/>
      <c r="EE38" s="153"/>
      <c r="EF38" s="153"/>
      <c r="EG38" s="53"/>
      <c r="EH38" s="53">
        <f t="shared" si="26"/>
        <v>2592.1999999999994</v>
      </c>
      <c r="EI38" s="53"/>
      <c r="EJ38" s="154"/>
      <c r="EK38" s="154"/>
      <c r="EL38" s="154"/>
      <c r="EM38" s="154"/>
      <c r="EN38" s="155"/>
      <c r="EO38" s="155"/>
      <c r="EP38" s="156"/>
      <c r="EQ38" s="156"/>
      <c r="ER38" s="156"/>
      <c r="ES38" s="53"/>
      <c r="ET38" s="157"/>
      <c r="EU38" s="157"/>
    </row>
    <row r="39" spans="1:151">
      <c r="A39" s="47">
        <v>32</v>
      </c>
      <c r="B39" s="136" t="s">
        <v>168</v>
      </c>
      <c r="C39" s="136">
        <v>4</v>
      </c>
      <c r="D39" s="137" t="s">
        <v>149</v>
      </c>
      <c r="E39" s="138" t="s">
        <v>150</v>
      </c>
      <c r="F39" s="142">
        <v>1971</v>
      </c>
      <c r="G39" s="140">
        <v>5</v>
      </c>
      <c r="H39" s="140">
        <v>4</v>
      </c>
      <c r="I39" s="141">
        <v>60</v>
      </c>
      <c r="J39" s="141">
        <v>117</v>
      </c>
      <c r="K39" s="141">
        <v>58</v>
      </c>
      <c r="L39" s="53">
        <f>'[1]Невельского 4 '!H65+'[1]Невельского 4 '!I65</f>
        <v>114</v>
      </c>
      <c r="M39" s="142">
        <v>2355.4</v>
      </c>
      <c r="N39" s="142">
        <f>'[1]Невельского 4 '!E69</f>
        <v>272.40000000000003</v>
      </c>
      <c r="O39" s="143">
        <f t="shared" si="12"/>
        <v>2627.8</v>
      </c>
      <c r="P39" s="142"/>
      <c r="Q39" s="142"/>
      <c r="R39" s="144">
        <f>'[1]Невельского 4 '!F68</f>
        <v>1581.2000000000003</v>
      </c>
      <c r="S39" s="144">
        <f>'[1]Невельского 4 '!F69</f>
        <v>181.29999999999998</v>
      </c>
      <c r="T39" s="140">
        <f>R39+S39</f>
        <v>1762.5000000000002</v>
      </c>
      <c r="U39" s="142"/>
      <c r="V39" s="142"/>
      <c r="W39" s="145">
        <f t="shared" si="0"/>
        <v>2627.8</v>
      </c>
      <c r="X39" s="140">
        <f t="shared" si="1"/>
        <v>1762.5000000000002</v>
      </c>
      <c r="Y39" s="140">
        <f t="shared" si="2"/>
        <v>2627.8</v>
      </c>
      <c r="Z39" s="140">
        <f t="shared" si="2"/>
        <v>1762.5000000000002</v>
      </c>
      <c r="AA39" s="142"/>
      <c r="AB39" s="142"/>
      <c r="AC39" s="140">
        <f t="shared" si="24"/>
        <v>2627.8</v>
      </c>
      <c r="AD39" s="140">
        <f t="shared" si="24"/>
        <v>1762.5000000000002</v>
      </c>
      <c r="AE39" s="142"/>
      <c r="AF39" s="142"/>
      <c r="AG39" s="142"/>
      <c r="AH39" s="142"/>
      <c r="AI39" s="142"/>
      <c r="AJ39" s="142"/>
      <c r="AK39" s="140">
        <v>2627.8</v>
      </c>
      <c r="AL39" s="140">
        <v>1762.5</v>
      </c>
      <c r="AM39" s="142"/>
      <c r="AN39" s="142"/>
      <c r="AO39" s="142">
        <v>2627.8</v>
      </c>
      <c r="AP39" s="142">
        <v>1762.5</v>
      </c>
      <c r="AQ39" s="146"/>
      <c r="AR39" s="146"/>
      <c r="AS39" s="142"/>
      <c r="AT39" s="142"/>
      <c r="AU39" s="142"/>
      <c r="AV39" s="142"/>
      <c r="AW39" s="142"/>
      <c r="AX39" s="142"/>
      <c r="AY39" s="142"/>
      <c r="AZ39" s="142">
        <v>506220</v>
      </c>
      <c r="BA39" s="142"/>
      <c r="BB39" s="142">
        <v>91.9</v>
      </c>
      <c r="BC39" s="142"/>
      <c r="BD39" s="142"/>
      <c r="BE39" s="142"/>
      <c r="BF39" s="142"/>
      <c r="BG39" s="142">
        <v>217.6</v>
      </c>
      <c r="BH39" s="142"/>
      <c r="BI39" s="142"/>
      <c r="BJ39" s="142"/>
      <c r="BK39" s="140"/>
      <c r="BL39" s="142"/>
      <c r="BM39" s="142"/>
      <c r="BN39" s="142"/>
      <c r="BO39" s="142"/>
      <c r="BP39" s="147">
        <f t="shared" si="6"/>
        <v>662.78279999999995</v>
      </c>
      <c r="BQ39" s="142"/>
      <c r="BR39" s="148"/>
      <c r="BS39" s="149">
        <f>BP39</f>
        <v>662.78279999999995</v>
      </c>
      <c r="BT39" s="149">
        <v>551.4</v>
      </c>
      <c r="BU39" s="142">
        <v>551.4</v>
      </c>
      <c r="BV39" s="142">
        <v>2890.75</v>
      </c>
      <c r="BW39" s="142"/>
      <c r="BX39" s="142"/>
      <c r="BY39" s="148"/>
      <c r="BZ39" s="150"/>
      <c r="CA39" s="151"/>
      <c r="CB39" s="150"/>
      <c r="CC39" s="148"/>
      <c r="CD39" s="148"/>
      <c r="CE39" s="148"/>
      <c r="CF39" s="148"/>
      <c r="CG39" s="142"/>
      <c r="CH39" s="141"/>
      <c r="CI39" s="142"/>
      <c r="CJ39" s="142"/>
      <c r="CK39" s="142"/>
      <c r="CL39" s="142"/>
      <c r="CM39" s="142"/>
      <c r="CN39" s="142"/>
      <c r="CO39" s="142"/>
      <c r="CP39" s="142"/>
      <c r="CQ39" s="142"/>
      <c r="CR39" s="148"/>
      <c r="CS39" s="142"/>
      <c r="CT39" s="142"/>
      <c r="CU39" s="142"/>
      <c r="CV39" s="150"/>
      <c r="CW39" s="141"/>
      <c r="CX39" s="141"/>
      <c r="CY39" s="142"/>
      <c r="CZ39" s="142"/>
      <c r="DA39" s="142"/>
      <c r="DB39" s="142"/>
      <c r="DC39" s="148"/>
      <c r="DD39" s="148"/>
      <c r="DE39" s="142"/>
      <c r="DF39" s="142"/>
      <c r="DG39" s="142"/>
      <c r="DH39" s="148"/>
      <c r="DI39" s="142"/>
      <c r="DJ39" s="142"/>
      <c r="DK39" s="142"/>
      <c r="DL39" s="142"/>
      <c r="DM39" s="142"/>
      <c r="DN39" s="141"/>
      <c r="DO39" s="142"/>
      <c r="DP39" s="141"/>
      <c r="DQ39" s="141"/>
      <c r="DR39" s="142"/>
      <c r="DS39" s="148"/>
      <c r="DT39" s="148"/>
      <c r="DU39" s="142"/>
      <c r="DV39" s="150"/>
      <c r="DW39" s="142"/>
      <c r="DX39" s="148"/>
      <c r="DY39" s="142"/>
      <c r="DZ39" s="142"/>
      <c r="EA39" s="142"/>
      <c r="EB39" s="152"/>
      <c r="EC39" s="53">
        <f>22.45-0.72</f>
        <v>21.73</v>
      </c>
      <c r="ED39" s="53"/>
      <c r="EE39" s="153"/>
      <c r="EF39" s="153"/>
      <c r="EG39" s="53"/>
      <c r="EH39" s="53">
        <f t="shared" si="26"/>
        <v>2627.8</v>
      </c>
      <c r="EI39" s="53"/>
      <c r="EJ39" s="154"/>
      <c r="EK39" s="154"/>
      <c r="EL39" s="154"/>
      <c r="EM39" s="154"/>
      <c r="EN39" s="155"/>
      <c r="EO39" s="155"/>
      <c r="EP39" s="156"/>
      <c r="EQ39" s="156"/>
      <c r="ER39" s="156"/>
      <c r="ES39" s="53"/>
      <c r="ET39" s="157"/>
      <c r="EU39" s="157"/>
    </row>
    <row r="40" spans="1:151">
      <c r="A40" s="47">
        <v>33</v>
      </c>
      <c r="B40" s="136" t="s">
        <v>169</v>
      </c>
      <c r="C40" s="182" t="s">
        <v>170</v>
      </c>
      <c r="D40" s="137" t="s">
        <v>171</v>
      </c>
      <c r="E40" s="138" t="s">
        <v>150</v>
      </c>
      <c r="F40" s="142">
        <v>2014</v>
      </c>
      <c r="G40" s="140">
        <v>15</v>
      </c>
      <c r="H40" s="140">
        <v>1</v>
      </c>
      <c r="I40" s="141">
        <v>60</v>
      </c>
      <c r="J40" s="141"/>
      <c r="K40" s="141">
        <v>60</v>
      </c>
      <c r="L40" s="53">
        <f>'[1]Невельская 14 корпус 1'!H65+'[1]Невельская 14 корпус 1'!I65</f>
        <v>96</v>
      </c>
      <c r="M40" s="142">
        <f>'[1]Невельская 14 корпус 1'!E66</f>
        <v>3729.5000000000009</v>
      </c>
      <c r="N40" s="142">
        <v>0</v>
      </c>
      <c r="O40" s="143">
        <f t="shared" si="12"/>
        <v>3729.5000000000009</v>
      </c>
      <c r="P40" s="142"/>
      <c r="Q40" s="142"/>
      <c r="R40" s="144"/>
      <c r="S40" s="144"/>
      <c r="T40" s="140"/>
      <c r="U40" s="142"/>
      <c r="V40" s="142"/>
      <c r="W40" s="145">
        <f>O40</f>
        <v>3729.5000000000009</v>
      </c>
      <c r="X40" s="140"/>
      <c r="Y40" s="140">
        <f>W40</f>
        <v>3729.5000000000009</v>
      </c>
      <c r="Z40" s="140"/>
      <c r="AA40" s="142"/>
      <c r="AB40" s="142"/>
      <c r="AC40" s="140">
        <f t="shared" si="24"/>
        <v>3729.5000000000009</v>
      </c>
      <c r="AD40" s="140"/>
      <c r="AE40" s="142"/>
      <c r="AF40" s="142"/>
      <c r="AG40" s="142"/>
      <c r="AH40" s="142"/>
      <c r="AI40" s="142"/>
      <c r="AJ40" s="142"/>
      <c r="AK40" s="140">
        <f>AC40</f>
        <v>3729.5000000000009</v>
      </c>
      <c r="AL40" s="140"/>
      <c r="AM40" s="142"/>
      <c r="AN40" s="142"/>
      <c r="AO40" s="142">
        <f>AK40</f>
        <v>3729.5000000000009</v>
      </c>
      <c r="AP40" s="142"/>
      <c r="AQ40" s="146"/>
      <c r="AR40" s="146"/>
      <c r="AS40" s="142"/>
      <c r="AT40" s="142"/>
      <c r="AU40" s="142">
        <f>AO40</f>
        <v>3729.5000000000009</v>
      </c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>
        <v>902</v>
      </c>
      <c r="BH40" s="142"/>
      <c r="BI40" s="142"/>
      <c r="BJ40" s="142"/>
      <c r="BK40" s="140"/>
      <c r="BL40" s="142"/>
      <c r="BM40" s="142"/>
      <c r="BN40" s="142"/>
      <c r="BO40" s="142"/>
      <c r="BP40" s="147">
        <f t="shared" si="6"/>
        <v>392.71744000000001</v>
      </c>
      <c r="BQ40" s="142"/>
      <c r="BR40" s="148"/>
      <c r="BS40" s="149"/>
      <c r="BT40" s="149">
        <v>326.72000000000003</v>
      </c>
      <c r="BU40" s="142">
        <v>307.2</v>
      </c>
      <c r="BV40" s="142">
        <v>1152.5</v>
      </c>
      <c r="BW40" s="142"/>
      <c r="BX40" s="142"/>
      <c r="BY40" s="148"/>
      <c r="BZ40" s="150"/>
      <c r="CA40" s="151"/>
      <c r="CB40" s="150"/>
      <c r="CC40" s="148"/>
      <c r="CD40" s="148"/>
      <c r="CE40" s="148"/>
      <c r="CF40" s="148"/>
      <c r="CG40" s="142"/>
      <c r="CH40" s="141"/>
      <c r="CI40" s="142"/>
      <c r="CJ40" s="142"/>
      <c r="CK40" s="142"/>
      <c r="CL40" s="142"/>
      <c r="CM40" s="142"/>
      <c r="CN40" s="142"/>
      <c r="CO40" s="142"/>
      <c r="CP40" s="142"/>
      <c r="CQ40" s="142"/>
      <c r="CR40" s="148"/>
      <c r="CS40" s="142"/>
      <c r="CT40" s="142"/>
      <c r="CU40" s="142"/>
      <c r="CV40" s="150"/>
      <c r="CW40" s="141"/>
      <c r="CX40" s="141"/>
      <c r="CY40" s="142"/>
      <c r="CZ40" s="142"/>
      <c r="DA40" s="142"/>
      <c r="DB40" s="142"/>
      <c r="DC40" s="148"/>
      <c r="DD40" s="148"/>
      <c r="DE40" s="142"/>
      <c r="DF40" s="142"/>
      <c r="DG40" s="142"/>
      <c r="DH40" s="148"/>
      <c r="DI40" s="142"/>
      <c r="DJ40" s="142"/>
      <c r="DK40" s="142"/>
      <c r="DL40" s="142"/>
      <c r="DM40" s="142"/>
      <c r="DN40" s="141"/>
      <c r="DO40" s="142"/>
      <c r="DP40" s="141"/>
      <c r="DQ40" s="141"/>
      <c r="DR40" s="142"/>
      <c r="DS40" s="148"/>
      <c r="DT40" s="148"/>
      <c r="DU40" s="142"/>
      <c r="DV40" s="150"/>
      <c r="DW40" s="142"/>
      <c r="DX40" s="148"/>
      <c r="DY40" s="142"/>
      <c r="DZ40" s="142"/>
      <c r="EA40" s="142"/>
      <c r="EB40" s="152"/>
      <c r="EC40" s="53">
        <f>26.64-0.72</f>
        <v>25.92</v>
      </c>
      <c r="ED40" s="53"/>
      <c r="EE40" s="153"/>
      <c r="EF40" s="153"/>
      <c r="EG40" s="53"/>
      <c r="EH40" s="53"/>
      <c r="EI40" s="53"/>
      <c r="EJ40" s="154"/>
      <c r="EK40" s="154"/>
      <c r="EL40" s="154"/>
      <c r="EM40" s="154"/>
      <c r="EN40" s="155"/>
      <c r="EO40" s="155"/>
      <c r="EP40" s="156"/>
      <c r="EQ40" s="156"/>
      <c r="ER40" s="156"/>
      <c r="ES40" s="53"/>
      <c r="ET40" s="157"/>
      <c r="EU40" s="157"/>
    </row>
    <row r="41" spans="1:151">
      <c r="A41" s="47">
        <v>34</v>
      </c>
      <c r="B41" s="136" t="s">
        <v>169</v>
      </c>
      <c r="C41" s="182" t="s">
        <v>172</v>
      </c>
      <c r="D41" s="137" t="s">
        <v>171</v>
      </c>
      <c r="E41" s="138" t="s">
        <v>150</v>
      </c>
      <c r="F41" s="142">
        <v>2015</v>
      </c>
      <c r="G41" s="140">
        <v>12</v>
      </c>
      <c r="H41" s="140">
        <v>1</v>
      </c>
      <c r="I41" s="141">
        <v>77</v>
      </c>
      <c r="J41" s="141">
        <v>143</v>
      </c>
      <c r="K41" s="141">
        <v>77</v>
      </c>
      <c r="L41" s="53">
        <f>'[1]Невельская 14 корпус 2'!H82+'[1]Невельская 14 корпус 2'!I82</f>
        <v>101</v>
      </c>
      <c r="M41" s="142">
        <f>'[1]Невельская 14 корпус 2'!E85</f>
        <v>4097.2999999999984</v>
      </c>
      <c r="N41" s="142">
        <f>'[1]Невельская 14 корпус 2'!E86</f>
        <v>0</v>
      </c>
      <c r="O41" s="143">
        <f t="shared" si="12"/>
        <v>4097.2999999999984</v>
      </c>
      <c r="P41" s="142"/>
      <c r="Q41" s="142"/>
      <c r="R41" s="144"/>
      <c r="S41" s="144"/>
      <c r="T41" s="140"/>
      <c r="U41" s="142"/>
      <c r="V41" s="142"/>
      <c r="W41" s="145">
        <f t="shared" si="0"/>
        <v>4097.2999999999984</v>
      </c>
      <c r="X41" s="140"/>
      <c r="Y41" s="140">
        <f t="shared" si="2"/>
        <v>4097.2999999999984</v>
      </c>
      <c r="Z41" s="140"/>
      <c r="AA41" s="142"/>
      <c r="AB41" s="142"/>
      <c r="AC41" s="140">
        <f t="shared" si="24"/>
        <v>4097.2999999999984</v>
      </c>
      <c r="AD41" s="140"/>
      <c r="AE41" s="142"/>
      <c r="AF41" s="142"/>
      <c r="AG41" s="142"/>
      <c r="AH41" s="142"/>
      <c r="AI41" s="142"/>
      <c r="AJ41" s="142"/>
      <c r="AK41" s="140">
        <f t="shared" si="4"/>
        <v>4097.2999999999984</v>
      </c>
      <c r="AL41" s="140"/>
      <c r="AM41" s="142"/>
      <c r="AN41" s="142"/>
      <c r="AO41" s="142">
        <v>4098</v>
      </c>
      <c r="AP41" s="142"/>
      <c r="AQ41" s="146"/>
      <c r="AR41" s="146"/>
      <c r="AS41" s="142"/>
      <c r="AT41" s="142"/>
      <c r="AU41" s="142">
        <f>AO41</f>
        <v>4098</v>
      </c>
      <c r="AV41" s="142"/>
      <c r="AW41" s="142"/>
      <c r="AX41" s="142"/>
      <c r="AY41" s="142"/>
      <c r="AZ41" s="142"/>
      <c r="BA41" s="142"/>
      <c r="BB41" s="142">
        <f>125.8+112.9+72.3+78.6+262.6</f>
        <v>652.20000000000005</v>
      </c>
      <c r="BC41" s="142"/>
      <c r="BD41" s="142">
        <v>3</v>
      </c>
      <c r="BE41" s="142"/>
      <c r="BF41" s="142"/>
      <c r="BG41" s="142">
        <v>719</v>
      </c>
      <c r="BH41" s="142"/>
      <c r="BI41" s="142"/>
      <c r="BJ41" s="142"/>
      <c r="BK41" s="140"/>
      <c r="BL41" s="142"/>
      <c r="BM41" s="142"/>
      <c r="BN41" s="142"/>
      <c r="BO41" s="142"/>
      <c r="BP41" s="147">
        <f t="shared" si="6"/>
        <v>518.42259999999999</v>
      </c>
      <c r="BQ41" s="142"/>
      <c r="BR41" s="148"/>
      <c r="BS41" s="149"/>
      <c r="BT41" s="149">
        <v>431.3</v>
      </c>
      <c r="BU41" s="142">
        <v>431.3</v>
      </c>
      <c r="BV41" s="142">
        <v>2443.0500000000002</v>
      </c>
      <c r="BW41" s="142"/>
      <c r="BX41" s="142"/>
      <c r="BY41" s="148"/>
      <c r="BZ41" s="150"/>
      <c r="CA41" s="151"/>
      <c r="CB41" s="150"/>
      <c r="CC41" s="148"/>
      <c r="CD41" s="148"/>
      <c r="CE41" s="148"/>
      <c r="CF41" s="148"/>
      <c r="CG41" s="142"/>
      <c r="CH41" s="141"/>
      <c r="CI41" s="142"/>
      <c r="CJ41" s="142"/>
      <c r="CK41" s="142"/>
      <c r="CL41" s="142"/>
      <c r="CM41" s="142"/>
      <c r="CN41" s="142"/>
      <c r="CO41" s="142"/>
      <c r="CP41" s="142"/>
      <c r="CQ41" s="142"/>
      <c r="CR41" s="148"/>
      <c r="CS41" s="142"/>
      <c r="CT41" s="142"/>
      <c r="CU41" s="142"/>
      <c r="CV41" s="150"/>
      <c r="CW41" s="141"/>
      <c r="CX41" s="141"/>
      <c r="CY41" s="142"/>
      <c r="CZ41" s="142"/>
      <c r="DA41" s="142"/>
      <c r="DB41" s="142"/>
      <c r="DC41" s="148"/>
      <c r="DD41" s="148"/>
      <c r="DE41" s="142"/>
      <c r="DF41" s="142"/>
      <c r="DG41" s="142"/>
      <c r="DH41" s="148"/>
      <c r="DI41" s="142"/>
      <c r="DJ41" s="142"/>
      <c r="DK41" s="142"/>
      <c r="DL41" s="142"/>
      <c r="DM41" s="142"/>
      <c r="DN41" s="141"/>
      <c r="DO41" s="142"/>
      <c r="DP41" s="141"/>
      <c r="DQ41" s="141"/>
      <c r="DR41" s="142"/>
      <c r="DS41" s="148"/>
      <c r="DT41" s="148"/>
      <c r="DU41" s="142"/>
      <c r="DV41" s="150"/>
      <c r="DW41" s="142"/>
      <c r="DX41" s="148"/>
      <c r="DY41" s="142"/>
      <c r="DZ41" s="142"/>
      <c r="EA41" s="142"/>
      <c r="EB41" s="152"/>
      <c r="EC41" s="53">
        <f>26.64-0.72</f>
        <v>25.92</v>
      </c>
      <c r="ED41" s="53"/>
      <c r="EE41" s="153"/>
      <c r="EF41" s="153"/>
      <c r="EG41" s="53"/>
      <c r="EH41" s="53"/>
      <c r="EI41" s="53"/>
      <c r="EJ41" s="154"/>
      <c r="EK41" s="154"/>
      <c r="EL41" s="154"/>
      <c r="EM41" s="154"/>
      <c r="EN41" s="155"/>
      <c r="EO41" s="155"/>
      <c r="EP41" s="156"/>
      <c r="EQ41" s="156"/>
      <c r="ER41" s="156"/>
      <c r="ES41" s="53"/>
      <c r="ET41" s="157"/>
      <c r="EU41" s="157"/>
    </row>
    <row r="42" spans="1:151">
      <c r="A42" s="47">
        <v>35</v>
      </c>
      <c r="B42" s="136" t="s">
        <v>173</v>
      </c>
      <c r="C42" s="136" t="s">
        <v>174</v>
      </c>
      <c r="D42" s="137" t="s">
        <v>171</v>
      </c>
      <c r="E42" s="138" t="s">
        <v>150</v>
      </c>
      <c r="F42" s="142">
        <v>2016</v>
      </c>
      <c r="G42" s="140">
        <v>9</v>
      </c>
      <c r="H42" s="140">
        <v>2</v>
      </c>
      <c r="I42" s="141">
        <v>71</v>
      </c>
      <c r="J42" s="141">
        <v>125</v>
      </c>
      <c r="K42" s="141">
        <v>71</v>
      </c>
      <c r="L42" s="53">
        <f>'[1]Озерная 2а-Б'!H42+'[1]Озерная 2а-Б'!I42+'[1]Озерная 2а-В'!H41+'[1]Озерная 2а-В'!I41</f>
        <v>127</v>
      </c>
      <c r="M42" s="142">
        <v>3953.5</v>
      </c>
      <c r="N42" s="142">
        <v>0</v>
      </c>
      <c r="O42" s="143">
        <f t="shared" si="12"/>
        <v>3953.5</v>
      </c>
      <c r="P42" s="142"/>
      <c r="Q42" s="142"/>
      <c r="R42" s="144">
        <f>'[1]Озерная 2а-Б'!F43+'[1]Озерная 2а-В'!F42</f>
        <v>2027.0999999999997</v>
      </c>
      <c r="S42" s="144">
        <v>0</v>
      </c>
      <c r="T42" s="140">
        <f>R42+S42</f>
        <v>2027.0999999999997</v>
      </c>
      <c r="U42" s="142"/>
      <c r="V42" s="142"/>
      <c r="W42" s="145">
        <f>M42</f>
        <v>3953.5</v>
      </c>
      <c r="X42" s="140">
        <f>R42</f>
        <v>2027.0999999999997</v>
      </c>
      <c r="Y42" s="140">
        <f t="shared" si="2"/>
        <v>3953.5</v>
      </c>
      <c r="Z42" s="140">
        <f>X42</f>
        <v>2027.0999999999997</v>
      </c>
      <c r="AA42" s="142"/>
      <c r="AB42" s="142"/>
      <c r="AC42" s="140">
        <f t="shared" si="24"/>
        <v>3953.5</v>
      </c>
      <c r="AD42" s="140">
        <f>Z42</f>
        <v>2027.0999999999997</v>
      </c>
      <c r="AE42" s="142"/>
      <c r="AF42" s="142"/>
      <c r="AG42" s="142"/>
      <c r="AH42" s="142"/>
      <c r="AI42" s="142"/>
      <c r="AJ42" s="142"/>
      <c r="AK42" s="140">
        <f t="shared" si="4"/>
        <v>3953.5</v>
      </c>
      <c r="AL42" s="140">
        <f>AD42</f>
        <v>2027.0999999999997</v>
      </c>
      <c r="AM42" s="142"/>
      <c r="AN42" s="142"/>
      <c r="AO42" s="142">
        <f>AK42</f>
        <v>3953.5</v>
      </c>
      <c r="AP42" s="142">
        <f>AL42</f>
        <v>2027.0999999999997</v>
      </c>
      <c r="AQ42" s="146"/>
      <c r="AR42" s="146"/>
      <c r="AS42" s="142"/>
      <c r="AT42" s="142"/>
      <c r="AU42" s="142">
        <f>AO42</f>
        <v>3953.5</v>
      </c>
      <c r="AV42" s="142">
        <f>AP42</f>
        <v>2027.0999999999997</v>
      </c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60">
        <f>171.6+301.1+25.53+18.34</f>
        <v>516.57000000000005</v>
      </c>
      <c r="BH42" s="142"/>
      <c r="BI42" s="142"/>
      <c r="BJ42" s="142"/>
      <c r="BK42" s="140"/>
      <c r="BL42" s="142"/>
      <c r="BM42" s="142"/>
      <c r="BN42" s="142"/>
      <c r="BO42" s="142"/>
      <c r="BP42" s="147">
        <f>BT42*1.202</f>
        <v>609.45006000000012</v>
      </c>
      <c r="BQ42" s="142"/>
      <c r="BR42" s="148">
        <f>BP42</f>
        <v>609.45006000000012</v>
      </c>
      <c r="BS42" s="149"/>
      <c r="BT42" s="183">
        <f>286.6+264.3-25.53-18.34</f>
        <v>507.03000000000014</v>
      </c>
      <c r="BU42" s="142">
        <f>284.4+262.5</f>
        <v>546.9</v>
      </c>
      <c r="BV42" s="142">
        <v>1160.9000000000001</v>
      </c>
      <c r="BW42" s="142"/>
      <c r="BX42" s="142"/>
      <c r="BY42" s="148"/>
      <c r="BZ42" s="150"/>
      <c r="CA42" s="151"/>
      <c r="CB42" s="150"/>
      <c r="CC42" s="148"/>
      <c r="CD42" s="148"/>
      <c r="CE42" s="148"/>
      <c r="CF42" s="148"/>
      <c r="CG42" s="142"/>
      <c r="CH42" s="141"/>
      <c r="CI42" s="142"/>
      <c r="CJ42" s="142"/>
      <c r="CK42" s="142"/>
      <c r="CL42" s="142"/>
      <c r="CM42" s="142"/>
      <c r="CN42" s="142"/>
      <c r="CO42" s="142"/>
      <c r="CP42" s="142"/>
      <c r="CQ42" s="142"/>
      <c r="CR42" s="148"/>
      <c r="CS42" s="142"/>
      <c r="CT42" s="142"/>
      <c r="CU42" s="142"/>
      <c r="CV42" s="150"/>
      <c r="CW42" s="141"/>
      <c r="CX42" s="141"/>
      <c r="CY42" s="142"/>
      <c r="CZ42" s="142"/>
      <c r="DA42" s="142"/>
      <c r="DB42" s="142"/>
      <c r="DC42" s="148"/>
      <c r="DD42" s="148"/>
      <c r="DE42" s="142"/>
      <c r="DF42" s="142"/>
      <c r="DG42" s="142"/>
      <c r="DH42" s="148"/>
      <c r="DI42" s="142"/>
      <c r="DJ42" s="142"/>
      <c r="DK42" s="142"/>
      <c r="DL42" s="142"/>
      <c r="DM42" s="142"/>
      <c r="DN42" s="141"/>
      <c r="DO42" s="142"/>
      <c r="DP42" s="141"/>
      <c r="DQ42" s="141"/>
      <c r="DR42" s="142"/>
      <c r="DS42" s="148"/>
      <c r="DT42" s="148"/>
      <c r="DU42" s="142"/>
      <c r="DV42" s="150"/>
      <c r="DW42" s="142"/>
      <c r="DX42" s="148"/>
      <c r="DY42" s="142"/>
      <c r="DZ42" s="142"/>
      <c r="EA42" s="142"/>
      <c r="EB42" s="152"/>
      <c r="EC42" s="53">
        <f>26.64-0.72</f>
        <v>25.92</v>
      </c>
      <c r="ED42" s="53"/>
      <c r="EE42" s="153"/>
      <c r="EF42" s="153"/>
      <c r="EG42" s="53"/>
      <c r="EH42" s="53">
        <f>AK42</f>
        <v>3953.5</v>
      </c>
      <c r="EI42" s="53"/>
      <c r="EJ42" s="154"/>
      <c r="EK42" s="154"/>
      <c r="EL42" s="154"/>
      <c r="EM42" s="154"/>
      <c r="EN42" s="155"/>
      <c r="EO42" s="155"/>
      <c r="EP42" s="156"/>
      <c r="EQ42" s="156"/>
      <c r="ER42" s="156"/>
      <c r="ES42" s="53"/>
      <c r="ET42" s="157"/>
      <c r="EU42" s="157"/>
    </row>
    <row r="43" spans="1:151">
      <c r="A43" s="47">
        <v>36</v>
      </c>
      <c r="B43" s="136" t="s">
        <v>173</v>
      </c>
      <c r="C43" s="136" t="s">
        <v>175</v>
      </c>
      <c r="D43" s="137" t="s">
        <v>171</v>
      </c>
      <c r="E43" s="138" t="s">
        <v>150</v>
      </c>
      <c r="F43" s="142">
        <v>2017</v>
      </c>
      <c r="G43" s="140">
        <v>9</v>
      </c>
      <c r="H43" s="140">
        <v>1</v>
      </c>
      <c r="I43" s="141">
        <v>35</v>
      </c>
      <c r="J43" s="141">
        <f>'[1]Озерная 2б'!I41</f>
        <v>72</v>
      </c>
      <c r="K43" s="141">
        <v>35</v>
      </c>
      <c r="L43" s="53">
        <f>'[1]Озерная 2б'!G41+'[1]Озерная 2б'!H41</f>
        <v>27</v>
      </c>
      <c r="M43" s="142">
        <f>'[1]Озерная 2б'!E42</f>
        <v>1933.1000000000004</v>
      </c>
      <c r="N43" s="142">
        <f>'[1]Озерная 2б'!E45</f>
        <v>0</v>
      </c>
      <c r="O43" s="143">
        <f t="shared" si="12"/>
        <v>1933.1000000000004</v>
      </c>
      <c r="P43" s="142"/>
      <c r="Q43" s="142"/>
      <c r="R43" s="144">
        <f>'[1]Озерная 2б'!F42</f>
        <v>1097.5000000000002</v>
      </c>
      <c r="S43" s="144">
        <v>0</v>
      </c>
      <c r="T43" s="140">
        <f>R43+S43</f>
        <v>1097.5000000000002</v>
      </c>
      <c r="U43" s="142"/>
      <c r="V43" s="142"/>
      <c r="W43" s="145">
        <f>M43</f>
        <v>1933.1000000000004</v>
      </c>
      <c r="X43" s="140">
        <f>T43</f>
        <v>1097.5000000000002</v>
      </c>
      <c r="Y43" s="140">
        <f t="shared" si="2"/>
        <v>1933.1000000000004</v>
      </c>
      <c r="Z43" s="140">
        <f>X43</f>
        <v>1097.5000000000002</v>
      </c>
      <c r="AA43" s="142"/>
      <c r="AB43" s="142"/>
      <c r="AC43" s="140">
        <f t="shared" si="24"/>
        <v>1933.1000000000004</v>
      </c>
      <c r="AD43" s="140">
        <f>Z43</f>
        <v>1097.5000000000002</v>
      </c>
      <c r="AE43" s="142"/>
      <c r="AF43" s="142"/>
      <c r="AG43" s="142"/>
      <c r="AH43" s="142"/>
      <c r="AI43" s="142"/>
      <c r="AJ43" s="142"/>
      <c r="AK43" s="140">
        <f t="shared" si="4"/>
        <v>1933.1000000000004</v>
      </c>
      <c r="AL43" s="140">
        <f>AD43</f>
        <v>1097.5000000000002</v>
      </c>
      <c r="AM43" s="142"/>
      <c r="AN43" s="142"/>
      <c r="AO43" s="142">
        <f>AK43</f>
        <v>1933.1000000000004</v>
      </c>
      <c r="AP43" s="142">
        <f>AL43</f>
        <v>1097.5000000000002</v>
      </c>
      <c r="AQ43" s="146"/>
      <c r="AR43" s="146"/>
      <c r="AS43" s="142"/>
      <c r="AT43" s="142"/>
      <c r="AU43" s="142">
        <f>AK43</f>
        <v>1933.1000000000004</v>
      </c>
      <c r="AV43" s="142">
        <f>AP43</f>
        <v>1097.5000000000002</v>
      </c>
      <c r="AW43" s="142"/>
      <c r="AX43" s="142"/>
      <c r="AY43" s="142"/>
      <c r="AZ43" s="142"/>
      <c r="BA43" s="142"/>
      <c r="BB43" s="142"/>
      <c r="BC43" s="142"/>
      <c r="BD43" s="142">
        <f>4+2.5</f>
        <v>6.5</v>
      </c>
      <c r="BE43" s="142"/>
      <c r="BF43" s="142"/>
      <c r="BG43" s="160">
        <v>317.89999999999998</v>
      </c>
      <c r="BH43" s="142"/>
      <c r="BI43" s="142"/>
      <c r="BJ43" s="142"/>
      <c r="BK43" s="140"/>
      <c r="BL43" s="142"/>
      <c r="BM43" s="142"/>
      <c r="BN43" s="142"/>
      <c r="BO43" s="142"/>
      <c r="BP43" s="147">
        <f>BT43*1.202</f>
        <v>291.60519999999997</v>
      </c>
      <c r="BQ43" s="142"/>
      <c r="BR43" s="148"/>
      <c r="BS43" s="149"/>
      <c r="BT43" s="183">
        <v>242.6</v>
      </c>
      <c r="BU43" s="142">
        <v>238.7</v>
      </c>
      <c r="BV43" s="142">
        <v>2242.25</v>
      </c>
      <c r="BW43" s="142"/>
      <c r="BX43" s="142"/>
      <c r="BY43" s="148"/>
      <c r="BZ43" s="150"/>
      <c r="CA43" s="151"/>
      <c r="CB43" s="150"/>
      <c r="CC43" s="148"/>
      <c r="CD43" s="148"/>
      <c r="CE43" s="148"/>
      <c r="CF43" s="148"/>
      <c r="CG43" s="142"/>
      <c r="CH43" s="141"/>
      <c r="CI43" s="142"/>
      <c r="CJ43" s="142"/>
      <c r="CK43" s="142"/>
      <c r="CL43" s="142"/>
      <c r="CM43" s="142"/>
      <c r="CN43" s="142"/>
      <c r="CO43" s="142"/>
      <c r="CP43" s="142"/>
      <c r="CQ43" s="142"/>
      <c r="CR43" s="148"/>
      <c r="CS43" s="142"/>
      <c r="CT43" s="142"/>
      <c r="CU43" s="142"/>
      <c r="CV43" s="150"/>
      <c r="CW43" s="141"/>
      <c r="CX43" s="141"/>
      <c r="CY43" s="142"/>
      <c r="CZ43" s="142"/>
      <c r="DA43" s="142"/>
      <c r="DB43" s="142"/>
      <c r="DC43" s="148"/>
      <c r="DD43" s="148"/>
      <c r="DE43" s="142"/>
      <c r="DF43" s="142"/>
      <c r="DG43" s="142"/>
      <c r="DH43" s="148"/>
      <c r="DI43" s="142"/>
      <c r="DJ43" s="142"/>
      <c r="DK43" s="142"/>
      <c r="DL43" s="142"/>
      <c r="DM43" s="142"/>
      <c r="DN43" s="141"/>
      <c r="DO43" s="142"/>
      <c r="DP43" s="141"/>
      <c r="DQ43" s="141"/>
      <c r="DR43" s="142"/>
      <c r="DS43" s="148"/>
      <c r="DT43" s="148"/>
      <c r="DU43" s="142"/>
      <c r="DV43" s="150"/>
      <c r="DW43" s="142"/>
      <c r="DX43" s="148"/>
      <c r="DY43" s="142"/>
      <c r="DZ43" s="142"/>
      <c r="EA43" s="142"/>
      <c r="EB43" s="152"/>
      <c r="EC43" s="53">
        <f>26.64-0.72</f>
        <v>25.92</v>
      </c>
      <c r="ED43" s="53"/>
      <c r="EE43" s="153"/>
      <c r="EF43" s="153"/>
      <c r="EG43" s="53"/>
      <c r="EH43" s="53">
        <f>AK43</f>
        <v>1933.1000000000004</v>
      </c>
      <c r="EI43" s="53"/>
      <c r="EJ43" s="154"/>
      <c r="EK43" s="154"/>
      <c r="EL43" s="154"/>
      <c r="EM43" s="154"/>
      <c r="EN43" s="155"/>
      <c r="EO43" s="155"/>
      <c r="EP43" s="156"/>
      <c r="EQ43" s="156"/>
      <c r="ER43" s="156"/>
      <c r="ES43" s="53"/>
      <c r="ET43" s="157"/>
      <c r="EU43" s="157"/>
    </row>
    <row r="44" spans="1:151">
      <c r="A44" s="47">
        <v>37</v>
      </c>
      <c r="B44" s="73" t="s">
        <v>176</v>
      </c>
      <c r="C44" s="73">
        <v>157</v>
      </c>
      <c r="D44" s="74" t="s">
        <v>149</v>
      </c>
      <c r="E44" s="116" t="s">
        <v>150</v>
      </c>
      <c r="F44" s="57">
        <v>1962</v>
      </c>
      <c r="G44" s="57">
        <v>5</v>
      </c>
      <c r="H44" s="57">
        <v>5</v>
      </c>
      <c r="I44" s="75">
        <v>96</v>
      </c>
      <c r="J44" s="75">
        <v>174</v>
      </c>
      <c r="K44" s="75">
        <v>96</v>
      </c>
      <c r="L44" s="133">
        <f>'[1]Мира 157'!H101+'[1]Мира 157'!I101</f>
        <v>184</v>
      </c>
      <c r="M44" s="57">
        <f>'[1]Мира 157'!E104</f>
        <v>3258.2999999999997</v>
      </c>
      <c r="N44" s="57">
        <f>'[1]Мира 157'!E105</f>
        <v>623.29999999999995</v>
      </c>
      <c r="O44" s="54">
        <f t="shared" si="12"/>
        <v>3881.5999999999995</v>
      </c>
      <c r="P44" s="76"/>
      <c r="Q44" s="76"/>
      <c r="R44" s="77">
        <f>'[1]Мира 157'!F104</f>
        <v>2095.7999999999997</v>
      </c>
      <c r="S44" s="77">
        <f>'[1]Мира 157'!F105</f>
        <v>411.30000000000007</v>
      </c>
      <c r="T44" s="57">
        <f t="shared" si="13"/>
        <v>2507.1</v>
      </c>
      <c r="U44" s="57"/>
      <c r="V44" s="57"/>
      <c r="W44" s="78">
        <f t="shared" si="0"/>
        <v>3881.5999999999995</v>
      </c>
      <c r="X44" s="76">
        <f t="shared" si="1"/>
        <v>2507.1</v>
      </c>
      <c r="Y44" s="76">
        <f t="shared" ref="Y44:Z69" si="27">W44</f>
        <v>3881.5999999999995</v>
      </c>
      <c r="Z44" s="76">
        <f t="shared" si="27"/>
        <v>2507.1</v>
      </c>
      <c r="AA44" s="76"/>
      <c r="AB44" s="76"/>
      <c r="AC44" s="76">
        <f t="shared" si="24"/>
        <v>3881.5999999999995</v>
      </c>
      <c r="AD44" s="57">
        <f t="shared" si="24"/>
        <v>2507.1</v>
      </c>
      <c r="AE44" s="57"/>
      <c r="AF44" s="57"/>
      <c r="AG44" s="57"/>
      <c r="AH44" s="57"/>
      <c r="AI44" s="57"/>
      <c r="AJ44" s="57"/>
      <c r="AK44" s="57">
        <f t="shared" ref="AK44:AL69" si="28">Y44</f>
        <v>3881.5999999999995</v>
      </c>
      <c r="AL44" s="57">
        <f t="shared" si="28"/>
        <v>2507.1</v>
      </c>
      <c r="AM44" s="57"/>
      <c r="AN44" s="57"/>
      <c r="AO44" s="57"/>
      <c r="AP44" s="57"/>
      <c r="AQ44" s="79">
        <f t="shared" si="25"/>
        <v>3881.5999999999995</v>
      </c>
      <c r="AR44" s="79">
        <f t="shared" si="25"/>
        <v>2507.1</v>
      </c>
      <c r="AS44" s="57">
        <v>1318.6</v>
      </c>
      <c r="AT44" s="57">
        <v>852.1</v>
      </c>
      <c r="AU44" s="57"/>
      <c r="AV44" s="57"/>
      <c r="AW44" s="57"/>
      <c r="AX44" s="57"/>
      <c r="AY44" s="57">
        <v>32</v>
      </c>
      <c r="AZ44" s="57">
        <v>4296032</v>
      </c>
      <c r="BA44" s="57">
        <v>132.9</v>
      </c>
      <c r="BB44" s="57">
        <v>40.92</v>
      </c>
      <c r="BC44" s="57"/>
      <c r="BD44" s="57"/>
      <c r="BE44" s="57">
        <v>44.1</v>
      </c>
      <c r="BF44" s="57"/>
      <c r="BG44" s="57">
        <v>268.8</v>
      </c>
      <c r="BH44" s="57"/>
      <c r="BI44" s="57"/>
      <c r="BJ44" s="57"/>
      <c r="BK44" s="80"/>
      <c r="BL44" s="57"/>
      <c r="BM44" s="57"/>
      <c r="BN44" s="57"/>
      <c r="BO44" s="57"/>
      <c r="BP44" s="81">
        <f t="shared" si="6"/>
        <v>862.31479999999999</v>
      </c>
      <c r="BQ44" s="57"/>
      <c r="BR44" s="82"/>
      <c r="BS44" s="83">
        <f>BP44</f>
        <v>862.31479999999999</v>
      </c>
      <c r="BT44" s="81">
        <v>717.4</v>
      </c>
      <c r="BU44" s="57">
        <v>717.4</v>
      </c>
      <c r="BV44" s="57">
        <v>1897.09</v>
      </c>
      <c r="BW44" s="57"/>
      <c r="BX44" s="57"/>
      <c r="BY44" s="82"/>
      <c r="BZ44" s="84"/>
      <c r="CA44" s="84"/>
      <c r="CB44" s="84"/>
      <c r="CC44" s="85"/>
      <c r="CD44" s="85"/>
      <c r="CE44" s="85"/>
      <c r="CF44" s="85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6"/>
      <c r="CW44" s="86"/>
      <c r="CX44" s="80"/>
      <c r="CY44" s="80"/>
      <c r="CZ44" s="80"/>
      <c r="DA44" s="80"/>
      <c r="DB44" s="80"/>
      <c r="DC44" s="80"/>
      <c r="DD44" s="80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7"/>
      <c r="EC44" s="88">
        <f>21.6-0.72</f>
        <v>20.880000000000003</v>
      </c>
      <c r="ED44" s="88"/>
      <c r="EE44" s="65"/>
      <c r="EF44" s="65"/>
      <c r="EG44" s="88"/>
      <c r="EH44" s="88">
        <f t="shared" si="26"/>
        <v>3881.5999999999995</v>
      </c>
      <c r="EI44" s="88"/>
      <c r="EJ44" s="66"/>
      <c r="EK44" s="66"/>
      <c r="EL44" s="66">
        <f t="shared" ref="EL44:EL56" si="29">O44-EJ44+EI44</f>
        <v>3881.5999999999995</v>
      </c>
      <c r="EM44" s="66"/>
      <c r="EN44" s="67">
        <f t="shared" si="15"/>
        <v>81047.808000000005</v>
      </c>
      <c r="EO44" s="67"/>
      <c r="EP44" s="68">
        <f t="shared" si="10"/>
        <v>0</v>
      </c>
      <c r="EQ44" s="68"/>
      <c r="ER44" s="69">
        <f t="shared" ref="ER44:ER49" si="30">M44*EE44</f>
        <v>0</v>
      </c>
      <c r="ES44" s="178">
        <v>13607.99</v>
      </c>
      <c r="ET44" s="71">
        <f t="shared" si="18"/>
        <v>-13607.99</v>
      </c>
      <c r="EU44" s="71">
        <f t="shared" si="16"/>
        <v>-3085.7120181405894</v>
      </c>
    </row>
    <row r="45" spans="1:151">
      <c r="A45" s="47">
        <v>38</v>
      </c>
      <c r="B45" s="73" t="s">
        <v>176</v>
      </c>
      <c r="C45" s="73">
        <v>161</v>
      </c>
      <c r="D45" s="74" t="s">
        <v>155</v>
      </c>
      <c r="E45" s="116" t="s">
        <v>150</v>
      </c>
      <c r="F45" s="57">
        <v>1967</v>
      </c>
      <c r="G45" s="57">
        <v>5</v>
      </c>
      <c r="H45" s="57">
        <v>4</v>
      </c>
      <c r="I45" s="75">
        <v>79</v>
      </c>
      <c r="J45" s="75">
        <v>139</v>
      </c>
      <c r="K45" s="75">
        <v>79</v>
      </c>
      <c r="L45" s="133">
        <f>'[1]Мира 161'!H84+'[1]Мира 161'!I84</f>
        <v>127</v>
      </c>
      <c r="M45" s="57">
        <f>'[1]Мира 161'!E87</f>
        <v>2698.7</v>
      </c>
      <c r="N45" s="57">
        <f>'[1]Мира 161'!E88</f>
        <v>285.2</v>
      </c>
      <c r="O45" s="54">
        <f t="shared" si="12"/>
        <v>2983.8999999999996</v>
      </c>
      <c r="P45" s="76"/>
      <c r="Q45" s="76"/>
      <c r="R45" s="77">
        <f>'[1]Мира 161'!F87</f>
        <v>1710.1</v>
      </c>
      <c r="S45" s="77">
        <f>'[1]Мира 161'!F88</f>
        <v>179.79999999999998</v>
      </c>
      <c r="T45" s="57">
        <f t="shared" si="13"/>
        <v>1889.8999999999999</v>
      </c>
      <c r="U45" s="57"/>
      <c r="V45" s="57"/>
      <c r="W45" s="78">
        <f t="shared" si="0"/>
        <v>2983.8999999999996</v>
      </c>
      <c r="X45" s="76">
        <f t="shared" si="1"/>
        <v>1889.8999999999999</v>
      </c>
      <c r="Y45" s="76">
        <f t="shared" si="27"/>
        <v>2983.8999999999996</v>
      </c>
      <c r="Z45" s="76">
        <f t="shared" si="27"/>
        <v>1889.8999999999999</v>
      </c>
      <c r="AA45" s="76"/>
      <c r="AB45" s="76"/>
      <c r="AC45" s="76">
        <f t="shared" si="24"/>
        <v>2983.8999999999996</v>
      </c>
      <c r="AD45" s="57">
        <f t="shared" si="24"/>
        <v>1889.8999999999999</v>
      </c>
      <c r="AE45" s="57"/>
      <c r="AF45" s="57"/>
      <c r="AG45" s="57"/>
      <c r="AH45" s="57"/>
      <c r="AI45" s="57"/>
      <c r="AJ45" s="57"/>
      <c r="AK45" s="57">
        <f t="shared" si="28"/>
        <v>2983.8999999999996</v>
      </c>
      <c r="AL45" s="57">
        <f t="shared" si="28"/>
        <v>1889.8999999999999</v>
      </c>
      <c r="AM45" s="57"/>
      <c r="AN45" s="57"/>
      <c r="AO45" s="57"/>
      <c r="AP45" s="57"/>
      <c r="AQ45" s="79">
        <f t="shared" si="25"/>
        <v>2983.8999999999996</v>
      </c>
      <c r="AR45" s="79">
        <f t="shared" si="25"/>
        <v>1889.8999999999999</v>
      </c>
      <c r="AS45" s="57">
        <v>647.6</v>
      </c>
      <c r="AT45" s="57">
        <v>417.1</v>
      </c>
      <c r="AU45" s="57"/>
      <c r="AV45" s="57"/>
      <c r="AW45" s="57"/>
      <c r="AX45" s="57"/>
      <c r="AY45" s="57">
        <v>16</v>
      </c>
      <c r="AZ45" s="57">
        <v>17225000</v>
      </c>
      <c r="BA45" s="57"/>
      <c r="BB45" s="57">
        <f>39.9+43.5+49.3</f>
        <v>132.69999999999999</v>
      </c>
      <c r="BC45" s="57"/>
      <c r="BD45" s="57"/>
      <c r="BE45" s="57"/>
      <c r="BF45" s="57"/>
      <c r="BG45" s="57">
        <v>259</v>
      </c>
      <c r="BH45" s="57"/>
      <c r="BI45" s="57"/>
      <c r="BJ45" s="57"/>
      <c r="BK45" s="57"/>
      <c r="BL45" s="57"/>
      <c r="BM45" s="57"/>
      <c r="BN45" s="57"/>
      <c r="BO45" s="57"/>
      <c r="BP45" s="81">
        <f t="shared" si="6"/>
        <v>832.62540000000001</v>
      </c>
      <c r="BQ45" s="57"/>
      <c r="BR45" s="82"/>
      <c r="BS45" s="83"/>
      <c r="BT45" s="83">
        <v>692.7</v>
      </c>
      <c r="BU45" s="57">
        <v>692.7</v>
      </c>
      <c r="BV45" s="132">
        <v>2939</v>
      </c>
      <c r="BW45" s="57"/>
      <c r="BX45" s="57"/>
      <c r="BY45" s="82"/>
      <c r="BZ45" s="57"/>
      <c r="CA45" s="57"/>
      <c r="CB45" s="57"/>
      <c r="CC45" s="82"/>
      <c r="CD45" s="82"/>
      <c r="CE45" s="82"/>
      <c r="CF45" s="82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84"/>
      <c r="CW45" s="84"/>
      <c r="CX45" s="57"/>
      <c r="CY45" s="57"/>
      <c r="CZ45" s="57"/>
      <c r="DA45" s="57"/>
      <c r="DB45" s="57"/>
      <c r="DC45" s="57"/>
      <c r="DD45" s="57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129"/>
      <c r="EC45" s="88">
        <f>21.6-0.72</f>
        <v>20.880000000000003</v>
      </c>
      <c r="ED45" s="88"/>
      <c r="EE45" s="65"/>
      <c r="EF45" s="65"/>
      <c r="EG45" s="88"/>
      <c r="EH45" s="88">
        <f t="shared" si="26"/>
        <v>2983.8999999999996</v>
      </c>
      <c r="EI45" s="88"/>
      <c r="EJ45" s="66"/>
      <c r="EK45" s="66"/>
      <c r="EL45" s="66">
        <f t="shared" si="29"/>
        <v>2983.8999999999996</v>
      </c>
      <c r="EM45" s="66"/>
      <c r="EN45" s="67">
        <f t="shared" si="15"/>
        <v>62303.832000000002</v>
      </c>
      <c r="EO45" s="67"/>
      <c r="EP45" s="68">
        <f t="shared" si="10"/>
        <v>0</v>
      </c>
      <c r="EQ45" s="68"/>
      <c r="ER45" s="69">
        <f t="shared" si="30"/>
        <v>0</v>
      </c>
      <c r="ES45" s="178">
        <v>11415.74</v>
      </c>
      <c r="ET45" s="71">
        <f t="shared" si="18"/>
        <v>-11415.74</v>
      </c>
      <c r="EU45" s="71">
        <f t="shared" si="16"/>
        <v>-2588.6031746031745</v>
      </c>
    </row>
    <row r="46" spans="1:151">
      <c r="A46" s="47">
        <v>39</v>
      </c>
      <c r="B46" s="73" t="s">
        <v>176</v>
      </c>
      <c r="C46" s="73" t="s">
        <v>177</v>
      </c>
      <c r="D46" s="74" t="s">
        <v>155</v>
      </c>
      <c r="E46" s="116" t="s">
        <v>150</v>
      </c>
      <c r="F46" s="57">
        <v>1968</v>
      </c>
      <c r="G46" s="57">
        <v>4</v>
      </c>
      <c r="H46" s="57">
        <v>1</v>
      </c>
      <c r="I46" s="75">
        <v>74</v>
      </c>
      <c r="J46" s="75">
        <v>76</v>
      </c>
      <c r="K46" s="75">
        <v>88</v>
      </c>
      <c r="L46" s="133">
        <v>156</v>
      </c>
      <c r="M46" s="57">
        <f>'[1]Мира 161-А'!E95</f>
        <v>966.19999999999993</v>
      </c>
      <c r="N46" s="57">
        <f>'[1]Мира 161-А'!E96</f>
        <v>427.7</v>
      </c>
      <c r="O46" s="54">
        <f t="shared" si="12"/>
        <v>1393.8999999999999</v>
      </c>
      <c r="P46" s="76"/>
      <c r="Q46" s="76"/>
      <c r="R46" s="77">
        <f>'[1]Мира 161-А'!F95</f>
        <v>956.09999999999991</v>
      </c>
      <c r="S46" s="77">
        <f>'[1]Мира 161-А'!F96</f>
        <v>408.80000000000007</v>
      </c>
      <c r="T46" s="57">
        <f t="shared" si="13"/>
        <v>1364.9</v>
      </c>
      <c r="U46" s="57"/>
      <c r="V46" s="57"/>
      <c r="W46" s="78">
        <f t="shared" si="0"/>
        <v>1393.8999999999999</v>
      </c>
      <c r="X46" s="76">
        <f t="shared" si="1"/>
        <v>1364.9</v>
      </c>
      <c r="Y46" s="76">
        <f t="shared" si="27"/>
        <v>1393.8999999999999</v>
      </c>
      <c r="Z46" s="76">
        <f t="shared" si="27"/>
        <v>1364.9</v>
      </c>
      <c r="AA46" s="76"/>
      <c r="AB46" s="76"/>
      <c r="AC46" s="76">
        <f t="shared" si="24"/>
        <v>1393.8999999999999</v>
      </c>
      <c r="AD46" s="57">
        <f t="shared" si="24"/>
        <v>1364.9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79"/>
      <c r="AR46" s="79"/>
      <c r="AS46" s="57"/>
      <c r="AT46" s="57"/>
      <c r="AU46" s="57"/>
      <c r="AV46" s="57"/>
      <c r="AW46" s="57"/>
      <c r="AX46" s="57"/>
      <c r="AY46" s="57"/>
      <c r="AZ46" s="57">
        <v>6136920</v>
      </c>
      <c r="BA46" s="57"/>
      <c r="BB46" s="57"/>
      <c r="BC46" s="57"/>
      <c r="BD46" s="57"/>
      <c r="BE46" s="57"/>
      <c r="BF46" s="57"/>
      <c r="BG46" s="57">
        <v>105.5</v>
      </c>
      <c r="BH46" s="57"/>
      <c r="BI46" s="57"/>
      <c r="BJ46" s="57"/>
      <c r="BK46" s="57"/>
      <c r="BL46" s="57"/>
      <c r="BM46" s="57"/>
      <c r="BN46" s="57"/>
      <c r="BO46" s="57"/>
      <c r="BP46" s="81">
        <f t="shared" si="6"/>
        <v>631.41059999999993</v>
      </c>
      <c r="BQ46" s="184">
        <f>BP46</f>
        <v>631.41059999999993</v>
      </c>
      <c r="BR46" s="82"/>
      <c r="BS46" s="83"/>
      <c r="BT46" s="83">
        <v>525.29999999999995</v>
      </c>
      <c r="BU46" s="57">
        <v>525.29999999999995</v>
      </c>
      <c r="BV46" s="132">
        <v>2540</v>
      </c>
      <c r="BW46" s="57"/>
      <c r="BX46" s="57"/>
      <c r="BY46" s="82"/>
      <c r="BZ46" s="57"/>
      <c r="CA46" s="57"/>
      <c r="CB46" s="57"/>
      <c r="CC46" s="82"/>
      <c r="CD46" s="82"/>
      <c r="CE46" s="82"/>
      <c r="CF46" s="82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84"/>
      <c r="CW46" s="84"/>
      <c r="CX46" s="57"/>
      <c r="CY46" s="57"/>
      <c r="CZ46" s="57"/>
      <c r="DA46" s="57"/>
      <c r="DB46" s="57"/>
      <c r="DC46" s="57"/>
      <c r="DD46" s="57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129"/>
      <c r="EC46" s="88">
        <f>33.91-0.72</f>
        <v>33.19</v>
      </c>
      <c r="ED46" s="88"/>
      <c r="EE46" s="65"/>
      <c r="EF46" s="65"/>
      <c r="EG46" s="88"/>
      <c r="EH46" s="88">
        <f t="shared" si="26"/>
        <v>1393.8999999999999</v>
      </c>
      <c r="EI46" s="88"/>
      <c r="EJ46" s="66"/>
      <c r="EK46" s="66"/>
      <c r="EL46" s="66">
        <f t="shared" si="29"/>
        <v>1393.8999999999999</v>
      </c>
      <c r="EM46" s="66"/>
      <c r="EN46" s="67">
        <v>0</v>
      </c>
      <c r="EO46" s="67"/>
      <c r="EP46" s="68">
        <f t="shared" si="10"/>
        <v>0</v>
      </c>
      <c r="EQ46" s="68"/>
      <c r="ER46" s="69">
        <f t="shared" si="30"/>
        <v>0</v>
      </c>
      <c r="ES46" s="178">
        <v>0</v>
      </c>
      <c r="ET46" s="71">
        <f t="shared" si="18"/>
        <v>0</v>
      </c>
      <c r="EU46" s="71">
        <f t="shared" si="16"/>
        <v>0</v>
      </c>
    </row>
    <row r="47" spans="1:151">
      <c r="A47" s="47">
        <v>40</v>
      </c>
      <c r="B47" s="73" t="s">
        <v>176</v>
      </c>
      <c r="C47" s="73">
        <v>163</v>
      </c>
      <c r="D47" s="74" t="s">
        <v>155</v>
      </c>
      <c r="E47" s="116" t="s">
        <v>150</v>
      </c>
      <c r="F47" s="57">
        <v>1967</v>
      </c>
      <c r="G47" s="57">
        <v>5</v>
      </c>
      <c r="H47" s="57">
        <v>4</v>
      </c>
      <c r="I47" s="75">
        <v>80</v>
      </c>
      <c r="J47" s="75">
        <v>140</v>
      </c>
      <c r="K47" s="75">
        <v>80</v>
      </c>
      <c r="L47" s="133">
        <f>'[1]Мира 163'!H85+'[1]Мира 163'!I85</f>
        <v>153</v>
      </c>
      <c r="M47" s="57">
        <f>'[1]Мира 163'!E88</f>
        <v>2899.3999999999996</v>
      </c>
      <c r="N47" s="57">
        <f>'[1]Мира 163'!E89</f>
        <v>202.5</v>
      </c>
      <c r="O47" s="54">
        <f t="shared" si="12"/>
        <v>3101.8999999999996</v>
      </c>
      <c r="P47" s="76"/>
      <c r="Q47" s="76"/>
      <c r="R47" s="77">
        <f>'[1]Мира 163'!F88</f>
        <v>1837.8999999999994</v>
      </c>
      <c r="S47" s="77">
        <f>'[1]Мира 163'!F89</f>
        <v>130.19999999999999</v>
      </c>
      <c r="T47" s="57">
        <f t="shared" si="13"/>
        <v>1968.0999999999995</v>
      </c>
      <c r="U47" s="57"/>
      <c r="V47" s="57"/>
      <c r="W47" s="78">
        <f t="shared" si="0"/>
        <v>3101.8999999999996</v>
      </c>
      <c r="X47" s="76">
        <f t="shared" si="1"/>
        <v>1968.0999999999995</v>
      </c>
      <c r="Y47" s="76">
        <f t="shared" si="27"/>
        <v>3101.8999999999996</v>
      </c>
      <c r="Z47" s="76">
        <f t="shared" si="27"/>
        <v>1968.0999999999995</v>
      </c>
      <c r="AA47" s="76"/>
      <c r="AB47" s="76"/>
      <c r="AC47" s="76">
        <f t="shared" si="24"/>
        <v>3101.8999999999996</v>
      </c>
      <c r="AD47" s="57">
        <f t="shared" si="24"/>
        <v>1968.0999999999995</v>
      </c>
      <c r="AE47" s="57"/>
      <c r="AF47" s="57"/>
      <c r="AG47" s="57"/>
      <c r="AH47" s="57"/>
      <c r="AI47" s="57"/>
      <c r="AJ47" s="57"/>
      <c r="AK47" s="57">
        <f t="shared" si="28"/>
        <v>3101.8999999999996</v>
      </c>
      <c r="AL47" s="57">
        <f t="shared" si="28"/>
        <v>1968.0999999999995</v>
      </c>
      <c r="AM47" s="57"/>
      <c r="AN47" s="57"/>
      <c r="AO47" s="57"/>
      <c r="AP47" s="57"/>
      <c r="AQ47" s="79">
        <f t="shared" si="25"/>
        <v>3101.8999999999996</v>
      </c>
      <c r="AR47" s="79">
        <f t="shared" si="25"/>
        <v>1968.0999999999995</v>
      </c>
      <c r="AS47" s="57">
        <v>859</v>
      </c>
      <c r="AT47" s="57">
        <v>560.20000000000005</v>
      </c>
      <c r="AU47" s="57"/>
      <c r="AV47" s="57"/>
      <c r="AW47" s="57"/>
      <c r="AX47" s="57"/>
      <c r="AY47" s="57">
        <v>20</v>
      </c>
      <c r="AZ47" s="57">
        <v>17192000</v>
      </c>
      <c r="BA47" s="57"/>
      <c r="BB47" s="57"/>
      <c r="BC47" s="57"/>
      <c r="BD47" s="57"/>
      <c r="BE47" s="57"/>
      <c r="BF47" s="57"/>
      <c r="BG47" s="57">
        <v>281.5</v>
      </c>
      <c r="BH47" s="57"/>
      <c r="BI47" s="57"/>
      <c r="BJ47" s="57"/>
      <c r="BK47" s="80"/>
      <c r="BL47" s="57"/>
      <c r="BM47" s="57"/>
      <c r="BN47" s="57"/>
      <c r="BO47" s="57"/>
      <c r="BP47" s="81">
        <f t="shared" si="6"/>
        <v>823.49019999999996</v>
      </c>
      <c r="BQ47" s="57"/>
      <c r="BR47" s="82"/>
      <c r="BS47" s="83"/>
      <c r="BT47" s="83">
        <v>685.1</v>
      </c>
      <c r="BU47" s="57">
        <v>685.1</v>
      </c>
      <c r="BV47" s="57">
        <v>1291.3</v>
      </c>
      <c r="BW47" s="57"/>
      <c r="BX47" s="57"/>
      <c r="BY47" s="82"/>
      <c r="BZ47" s="84"/>
      <c r="CA47" s="84"/>
      <c r="CB47" s="84"/>
      <c r="CC47" s="85"/>
      <c r="CD47" s="85"/>
      <c r="CE47" s="85"/>
      <c r="CF47" s="85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6"/>
      <c r="CW47" s="86"/>
      <c r="CX47" s="80"/>
      <c r="CY47" s="80"/>
      <c r="CZ47" s="80"/>
      <c r="DA47" s="80"/>
      <c r="DB47" s="80"/>
      <c r="DC47" s="80"/>
      <c r="DD47" s="80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7"/>
      <c r="EC47" s="88">
        <f>21.6-0.72</f>
        <v>20.880000000000003</v>
      </c>
      <c r="ED47" s="88"/>
      <c r="EE47" s="65"/>
      <c r="EF47" s="65"/>
      <c r="EG47" s="88"/>
      <c r="EH47" s="88">
        <v>3100.4</v>
      </c>
      <c r="EI47" s="88"/>
      <c r="EJ47" s="66"/>
      <c r="EK47" s="66"/>
      <c r="EL47" s="66">
        <f t="shared" si="29"/>
        <v>3101.8999999999996</v>
      </c>
      <c r="EM47" s="66"/>
      <c r="EN47" s="67">
        <f t="shared" si="15"/>
        <v>64736.352000000006</v>
      </c>
      <c r="EO47" s="67"/>
      <c r="EP47" s="68">
        <f t="shared" si="10"/>
        <v>0</v>
      </c>
      <c r="EQ47" s="68"/>
      <c r="ER47" s="69">
        <f t="shared" si="30"/>
        <v>0</v>
      </c>
      <c r="ES47" s="178">
        <v>12779.8</v>
      </c>
      <c r="ET47" s="71">
        <f t="shared" si="18"/>
        <v>-12779.8</v>
      </c>
      <c r="EU47" s="71">
        <f t="shared" si="16"/>
        <v>-2897.9138321995461</v>
      </c>
    </row>
    <row r="48" spans="1:151">
      <c r="A48" s="47">
        <v>41</v>
      </c>
      <c r="B48" s="73" t="s">
        <v>176</v>
      </c>
      <c r="C48" s="73" t="s">
        <v>178</v>
      </c>
      <c r="D48" s="74" t="s">
        <v>151</v>
      </c>
      <c r="E48" s="116" t="s">
        <v>150</v>
      </c>
      <c r="F48" s="57">
        <v>1983</v>
      </c>
      <c r="G48" s="57">
        <v>5</v>
      </c>
      <c r="H48" s="57">
        <v>3</v>
      </c>
      <c r="I48" s="75">
        <v>43</v>
      </c>
      <c r="J48" s="75">
        <v>89</v>
      </c>
      <c r="K48" s="75">
        <v>43</v>
      </c>
      <c r="L48" s="133">
        <f>'[1]Мира 163А'!H49+'[1]Мира 163А'!I49</f>
        <v>95</v>
      </c>
      <c r="M48" s="116">
        <f>'[1]Мира 163А'!E52</f>
        <v>2045.1000000000004</v>
      </c>
      <c r="N48" s="57">
        <f>'[1]Мира 163А'!E53</f>
        <v>131</v>
      </c>
      <c r="O48" s="54">
        <f t="shared" si="12"/>
        <v>2176.1000000000004</v>
      </c>
      <c r="P48" s="76"/>
      <c r="Q48" s="76"/>
      <c r="R48" s="77">
        <f>'[1]Мира 163А'!F52</f>
        <v>1194.4000000000008</v>
      </c>
      <c r="S48" s="77">
        <f>'[1]Мира 163А'!F53</f>
        <v>81.699999999999989</v>
      </c>
      <c r="T48" s="57">
        <f t="shared" si="13"/>
        <v>1276.1000000000008</v>
      </c>
      <c r="U48" s="57"/>
      <c r="V48" s="57"/>
      <c r="W48" s="78">
        <f t="shared" si="0"/>
        <v>2176.1000000000004</v>
      </c>
      <c r="X48" s="76">
        <f t="shared" si="1"/>
        <v>1276.1000000000008</v>
      </c>
      <c r="Y48" s="76">
        <f t="shared" si="27"/>
        <v>2176.1000000000004</v>
      </c>
      <c r="Z48" s="76">
        <f t="shared" si="27"/>
        <v>1276.1000000000008</v>
      </c>
      <c r="AA48" s="76"/>
      <c r="AB48" s="76"/>
      <c r="AC48" s="76">
        <f t="shared" si="24"/>
        <v>2176.1000000000004</v>
      </c>
      <c r="AD48" s="57">
        <f t="shared" si="24"/>
        <v>1276.1000000000008</v>
      </c>
      <c r="AE48" s="57"/>
      <c r="AF48" s="57"/>
      <c r="AG48" s="57"/>
      <c r="AH48" s="57"/>
      <c r="AI48" s="57"/>
      <c r="AJ48" s="57"/>
      <c r="AK48" s="57">
        <f t="shared" si="28"/>
        <v>2176.1000000000004</v>
      </c>
      <c r="AL48" s="57">
        <f t="shared" si="28"/>
        <v>1276.1000000000008</v>
      </c>
      <c r="AM48" s="57"/>
      <c r="AN48" s="57"/>
      <c r="AO48" s="57"/>
      <c r="AP48" s="57"/>
      <c r="AQ48" s="79">
        <f t="shared" si="25"/>
        <v>2176.1000000000004</v>
      </c>
      <c r="AR48" s="79">
        <f t="shared" si="25"/>
        <v>1276.1000000000008</v>
      </c>
      <c r="AS48" s="57">
        <v>2076.9</v>
      </c>
      <c r="AT48" s="57">
        <v>1215</v>
      </c>
      <c r="AU48" s="57"/>
      <c r="AV48" s="57"/>
      <c r="AW48" s="57"/>
      <c r="AX48" s="57"/>
      <c r="AY48" s="57">
        <v>41</v>
      </c>
      <c r="AZ48" s="116">
        <v>18161023</v>
      </c>
      <c r="BA48" s="57"/>
      <c r="BB48" s="57">
        <v>69.900000000000006</v>
      </c>
      <c r="BC48" s="57"/>
      <c r="BD48" s="57"/>
      <c r="BE48" s="57"/>
      <c r="BF48" s="57"/>
      <c r="BG48" s="57">
        <v>306.60000000000002</v>
      </c>
      <c r="BH48" s="57"/>
      <c r="BI48" s="57"/>
      <c r="BJ48" s="57"/>
      <c r="BK48" s="57"/>
      <c r="BL48" s="57"/>
      <c r="BM48" s="57"/>
      <c r="BN48" s="57"/>
      <c r="BO48" s="57"/>
      <c r="BP48" s="81">
        <f t="shared" si="6"/>
        <v>530.92340000000002</v>
      </c>
      <c r="BQ48" s="57"/>
      <c r="BR48" s="82"/>
      <c r="BS48" s="83">
        <f>BP48</f>
        <v>530.92340000000002</v>
      </c>
      <c r="BT48" s="83">
        <v>441.7</v>
      </c>
      <c r="BU48" s="57">
        <v>441.7</v>
      </c>
      <c r="BV48" s="57">
        <v>2737.9</v>
      </c>
      <c r="BW48" s="57"/>
      <c r="BX48" s="57"/>
      <c r="BY48" s="82"/>
      <c r="BZ48" s="57"/>
      <c r="CA48" s="57"/>
      <c r="CB48" s="57"/>
      <c r="CC48" s="82"/>
      <c r="CD48" s="82"/>
      <c r="CE48" s="82"/>
      <c r="CF48" s="82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84"/>
      <c r="CW48" s="84"/>
      <c r="CX48" s="57"/>
      <c r="CY48" s="57"/>
      <c r="CZ48" s="57"/>
      <c r="DA48" s="57"/>
      <c r="DB48" s="57"/>
      <c r="DC48" s="57"/>
      <c r="DD48" s="57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129"/>
      <c r="EC48" s="88">
        <f>21.6-0.72</f>
        <v>20.880000000000003</v>
      </c>
      <c r="ED48" s="88"/>
      <c r="EE48" s="65"/>
      <c r="EF48" s="65"/>
      <c r="EG48" s="88"/>
      <c r="EH48" s="88">
        <v>2178.3000000000002</v>
      </c>
      <c r="EI48" s="88"/>
      <c r="EJ48" s="66"/>
      <c r="EK48" s="66"/>
      <c r="EL48" s="66">
        <f t="shared" si="29"/>
        <v>2176.1000000000004</v>
      </c>
      <c r="EM48" s="66"/>
      <c r="EN48" s="67">
        <f t="shared" si="15"/>
        <v>45482.90400000001</v>
      </c>
      <c r="EO48" s="67"/>
      <c r="EP48" s="68">
        <f t="shared" si="10"/>
        <v>0</v>
      </c>
      <c r="EQ48" s="68"/>
      <c r="ER48" s="69">
        <f t="shared" si="30"/>
        <v>0</v>
      </c>
      <c r="ES48" s="178">
        <v>9028.66</v>
      </c>
      <c r="ET48" s="71">
        <f t="shared" si="18"/>
        <v>-9028.66</v>
      </c>
      <c r="EU48" s="71">
        <f t="shared" si="16"/>
        <v>-2047.3151927437641</v>
      </c>
    </row>
    <row r="49" spans="1:151">
      <c r="A49" s="47">
        <v>42</v>
      </c>
      <c r="B49" s="73" t="s">
        <v>179</v>
      </c>
      <c r="C49" s="73">
        <v>4</v>
      </c>
      <c r="D49" s="74" t="s">
        <v>149</v>
      </c>
      <c r="E49" s="116" t="s">
        <v>150</v>
      </c>
      <c r="F49" s="57">
        <v>1968</v>
      </c>
      <c r="G49" s="57">
        <v>5</v>
      </c>
      <c r="H49" s="57">
        <v>6</v>
      </c>
      <c r="I49" s="75">
        <v>89</v>
      </c>
      <c r="J49" s="75">
        <v>220</v>
      </c>
      <c r="K49" s="75">
        <v>89</v>
      </c>
      <c r="L49" s="133">
        <f>'[1]Победы 4'!H97+'[1]Победы 4'!I97</f>
        <v>203</v>
      </c>
      <c r="M49" s="57">
        <v>4031.4</v>
      </c>
      <c r="N49" s="57">
        <f>'[1]Победы 4'!E101</f>
        <v>333.20000000000005</v>
      </c>
      <c r="O49" s="54">
        <f t="shared" si="12"/>
        <v>4364.6000000000004</v>
      </c>
      <c r="P49" s="76"/>
      <c r="Q49" s="76"/>
      <c r="R49" s="77">
        <v>2774.64</v>
      </c>
      <c r="S49" s="77">
        <f>'[1]Победы 4'!F101</f>
        <v>220.00000000000003</v>
      </c>
      <c r="T49" s="57">
        <f t="shared" si="13"/>
        <v>2994.64</v>
      </c>
      <c r="U49" s="57"/>
      <c r="V49" s="57"/>
      <c r="W49" s="78">
        <f t="shared" si="0"/>
        <v>4364.6000000000004</v>
      </c>
      <c r="X49" s="76">
        <f t="shared" si="1"/>
        <v>2994.64</v>
      </c>
      <c r="Y49" s="76">
        <f t="shared" si="27"/>
        <v>4364.6000000000004</v>
      </c>
      <c r="Z49" s="76">
        <f t="shared" si="27"/>
        <v>2994.64</v>
      </c>
      <c r="AA49" s="76"/>
      <c r="AB49" s="76"/>
      <c r="AC49" s="76">
        <f t="shared" si="24"/>
        <v>4364.6000000000004</v>
      </c>
      <c r="AD49" s="57">
        <f t="shared" si="24"/>
        <v>2994.64</v>
      </c>
      <c r="AE49" s="57"/>
      <c r="AF49" s="57"/>
      <c r="AG49" s="57"/>
      <c r="AH49" s="57"/>
      <c r="AI49" s="57"/>
      <c r="AJ49" s="57"/>
      <c r="AK49" s="57">
        <f t="shared" si="28"/>
        <v>4364.6000000000004</v>
      </c>
      <c r="AL49" s="57">
        <f t="shared" si="28"/>
        <v>2994.64</v>
      </c>
      <c r="AM49" s="57"/>
      <c r="AN49" s="57"/>
      <c r="AO49" s="57"/>
      <c r="AP49" s="57"/>
      <c r="AQ49" s="79">
        <f t="shared" si="25"/>
        <v>4364.6000000000004</v>
      </c>
      <c r="AR49" s="79">
        <f t="shared" si="25"/>
        <v>2994.64</v>
      </c>
      <c r="AS49" s="57">
        <v>1512.9</v>
      </c>
      <c r="AT49" s="57">
        <v>1057</v>
      </c>
      <c r="AU49" s="57"/>
      <c r="AV49" s="57"/>
      <c r="AW49" s="57"/>
      <c r="AX49" s="57"/>
      <c r="AY49" s="57">
        <v>29</v>
      </c>
      <c r="AZ49" s="57">
        <v>12538820</v>
      </c>
      <c r="BA49" s="57"/>
      <c r="BB49" s="57"/>
      <c r="BC49" s="57"/>
      <c r="BD49" s="57"/>
      <c r="BE49" s="57"/>
      <c r="BF49" s="57"/>
      <c r="BG49" s="57">
        <v>494.4</v>
      </c>
      <c r="BH49" s="57"/>
      <c r="BI49" s="57"/>
      <c r="BJ49" s="57"/>
      <c r="BK49" s="80"/>
      <c r="BL49" s="57"/>
      <c r="BM49" s="57"/>
      <c r="BN49" s="57"/>
      <c r="BO49" s="57"/>
      <c r="BP49" s="81">
        <f t="shared" si="6"/>
        <v>1045.8602000000001</v>
      </c>
      <c r="BQ49" s="57"/>
      <c r="BR49" s="82"/>
      <c r="BS49" s="81">
        <f>BP49</f>
        <v>1045.8602000000001</v>
      </c>
      <c r="BT49" s="81">
        <v>870.1</v>
      </c>
      <c r="BU49" s="81">
        <v>870.1</v>
      </c>
      <c r="BV49" s="81">
        <v>3011.52</v>
      </c>
      <c r="BW49" s="81"/>
      <c r="BX49" s="81"/>
      <c r="BY49" s="82"/>
      <c r="BZ49" s="84"/>
      <c r="CA49" s="84"/>
      <c r="CB49" s="84"/>
      <c r="CC49" s="85"/>
      <c r="CD49" s="85"/>
      <c r="CE49" s="85"/>
      <c r="CF49" s="85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6"/>
      <c r="CW49" s="86"/>
      <c r="CX49" s="80"/>
      <c r="CY49" s="80"/>
      <c r="CZ49" s="80"/>
      <c r="DA49" s="80"/>
      <c r="DB49" s="80"/>
      <c r="DC49" s="80"/>
      <c r="DD49" s="80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7"/>
      <c r="EC49" s="88">
        <f>21.6-0.72</f>
        <v>20.880000000000003</v>
      </c>
      <c r="ED49" s="88"/>
      <c r="EE49" s="65"/>
      <c r="EF49" s="65"/>
      <c r="EG49" s="88"/>
      <c r="EH49" s="88">
        <v>4378.6000000000004</v>
      </c>
      <c r="EI49" s="88"/>
      <c r="EJ49" s="66"/>
      <c r="EK49" s="66"/>
      <c r="EL49" s="66">
        <f t="shared" si="29"/>
        <v>4364.6000000000004</v>
      </c>
      <c r="EM49" s="66"/>
      <c r="EN49" s="67">
        <f t="shared" si="15"/>
        <v>91425.16800000002</v>
      </c>
      <c r="EO49" s="67"/>
      <c r="EP49" s="68">
        <f t="shared" si="10"/>
        <v>0</v>
      </c>
      <c r="EQ49" s="68"/>
      <c r="ER49" s="69">
        <f t="shared" si="30"/>
        <v>0</v>
      </c>
      <c r="ES49" s="178">
        <v>17840.29</v>
      </c>
      <c r="ET49" s="71">
        <f t="shared" si="18"/>
        <v>-17840.29</v>
      </c>
      <c r="EU49" s="71">
        <f t="shared" si="16"/>
        <v>-4045.4172335600906</v>
      </c>
    </row>
    <row r="50" spans="1:151">
      <c r="A50" s="47">
        <v>43</v>
      </c>
      <c r="B50" s="73" t="s">
        <v>179</v>
      </c>
      <c r="C50" s="73" t="s">
        <v>180</v>
      </c>
      <c r="D50" s="74" t="s">
        <v>151</v>
      </c>
      <c r="E50" s="116" t="s">
        <v>150</v>
      </c>
      <c r="F50" s="57">
        <v>1992</v>
      </c>
      <c r="G50" s="57">
        <v>7</v>
      </c>
      <c r="H50" s="57">
        <v>1</v>
      </c>
      <c r="I50" s="75">
        <v>29</v>
      </c>
      <c r="J50" s="75">
        <v>64</v>
      </c>
      <c r="K50" s="75">
        <v>29</v>
      </c>
      <c r="L50" s="133">
        <f>'[1]Победы 6-А'!H34+'[1]Победы 6-А'!I34</f>
        <v>58</v>
      </c>
      <c r="M50" s="57">
        <f>'[1]Победы 6-А'!E37</f>
        <v>2136</v>
      </c>
      <c r="N50" s="57">
        <f>'[1]Победы 6-А'!E38</f>
        <v>0</v>
      </c>
      <c r="O50" s="54">
        <f>M50+N50</f>
        <v>2136</v>
      </c>
      <c r="P50" s="76"/>
      <c r="Q50" s="76"/>
      <c r="R50" s="77">
        <f>'[1]Победы 6-А'!F37</f>
        <v>1009.5000000000001</v>
      </c>
      <c r="S50" s="77">
        <f>'[1]Победы 6-А'!F38</f>
        <v>0</v>
      </c>
      <c r="T50" s="57">
        <f>R50+S50</f>
        <v>1009.5000000000001</v>
      </c>
      <c r="U50" s="57"/>
      <c r="V50" s="57"/>
      <c r="W50" s="78">
        <f t="shared" si="0"/>
        <v>2136</v>
      </c>
      <c r="X50" s="76">
        <f>T50</f>
        <v>1009.5000000000001</v>
      </c>
      <c r="Y50" s="76">
        <f t="shared" si="27"/>
        <v>2136</v>
      </c>
      <c r="Z50" s="76">
        <f t="shared" si="27"/>
        <v>1009.5000000000001</v>
      </c>
      <c r="AA50" s="76"/>
      <c r="AB50" s="76"/>
      <c r="AC50" s="76">
        <f t="shared" si="24"/>
        <v>2136</v>
      </c>
      <c r="AD50" s="57">
        <f t="shared" si="24"/>
        <v>1009.5000000000001</v>
      </c>
      <c r="AE50" s="57"/>
      <c r="AF50" s="57"/>
      <c r="AG50" s="57"/>
      <c r="AH50" s="57"/>
      <c r="AI50" s="57"/>
      <c r="AJ50" s="57"/>
      <c r="AK50" s="57">
        <f t="shared" si="28"/>
        <v>2136</v>
      </c>
      <c r="AL50" s="57">
        <f t="shared" si="28"/>
        <v>1009.5000000000001</v>
      </c>
      <c r="AM50" s="57"/>
      <c r="AN50" s="57"/>
      <c r="AO50" s="57"/>
      <c r="AP50" s="57"/>
      <c r="AQ50" s="79">
        <f t="shared" si="25"/>
        <v>2136</v>
      </c>
      <c r="AR50" s="79">
        <f t="shared" si="25"/>
        <v>1009.5000000000001</v>
      </c>
      <c r="AS50" s="57"/>
      <c r="AT50" s="57"/>
      <c r="AU50" s="57"/>
      <c r="AV50" s="57"/>
      <c r="AW50" s="57"/>
      <c r="AX50" s="57"/>
      <c r="AY50" s="57"/>
      <c r="AZ50" s="57"/>
      <c r="BA50" s="57"/>
      <c r="BB50" s="57">
        <f>317.1+357.2</f>
        <v>674.3</v>
      </c>
      <c r="BC50" s="57"/>
      <c r="BD50" s="57"/>
      <c r="BE50" s="57"/>
      <c r="BF50" s="57"/>
      <c r="BG50" s="57">
        <v>247</v>
      </c>
      <c r="BH50" s="57"/>
      <c r="BI50" s="57"/>
      <c r="BJ50" s="57"/>
      <c r="BK50" s="80"/>
      <c r="BL50" s="57"/>
      <c r="BM50" s="57"/>
      <c r="BN50" s="57"/>
      <c r="BO50" s="57"/>
      <c r="BP50" s="81">
        <f t="shared" si="6"/>
        <v>420.94039999999995</v>
      </c>
      <c r="BQ50" s="57"/>
      <c r="BR50" s="82">
        <f>BP50</f>
        <v>420.94039999999995</v>
      </c>
      <c r="BS50" s="81"/>
      <c r="BT50" s="81">
        <v>350.2</v>
      </c>
      <c r="BU50" s="81">
        <v>33.1</v>
      </c>
      <c r="BV50" s="81">
        <v>1743.5</v>
      </c>
      <c r="BW50" s="81"/>
      <c r="BX50" s="81"/>
      <c r="BY50" s="82"/>
      <c r="BZ50" s="84"/>
      <c r="CA50" s="84"/>
      <c r="CB50" s="84"/>
      <c r="CC50" s="85"/>
      <c r="CD50" s="85"/>
      <c r="CE50" s="85"/>
      <c r="CF50" s="85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6"/>
      <c r="CW50" s="86"/>
      <c r="CX50" s="80"/>
      <c r="CY50" s="80"/>
      <c r="CZ50" s="80"/>
      <c r="DA50" s="80"/>
      <c r="DB50" s="80"/>
      <c r="DC50" s="80"/>
      <c r="DD50" s="80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7"/>
      <c r="EC50" s="88">
        <f>24.92-0.72</f>
        <v>24.200000000000003</v>
      </c>
      <c r="ED50" s="88"/>
      <c r="EE50" s="65"/>
      <c r="EF50" s="65"/>
      <c r="EG50" s="88"/>
      <c r="EH50" s="88">
        <f>O50</f>
        <v>2136</v>
      </c>
      <c r="EI50" s="88"/>
      <c r="EJ50" s="66"/>
      <c r="EK50" s="66"/>
      <c r="EL50" s="66">
        <f t="shared" si="29"/>
        <v>2136</v>
      </c>
      <c r="EM50" s="66"/>
      <c r="EN50" s="67"/>
      <c r="EO50" s="67"/>
      <c r="EP50" s="68"/>
      <c r="EQ50" s="68"/>
      <c r="ER50" s="69"/>
      <c r="ES50" s="178"/>
      <c r="ET50" s="71"/>
      <c r="EU50" s="71"/>
    </row>
    <row r="51" spans="1:151">
      <c r="A51" s="47">
        <v>43</v>
      </c>
      <c r="B51" s="73" t="s">
        <v>179</v>
      </c>
      <c r="C51" s="73" t="s">
        <v>181</v>
      </c>
      <c r="D51" s="74" t="s">
        <v>149</v>
      </c>
      <c r="E51" s="116" t="s">
        <v>150</v>
      </c>
      <c r="F51" s="57">
        <v>1994</v>
      </c>
      <c r="G51" s="57">
        <v>8</v>
      </c>
      <c r="H51" s="57">
        <v>1</v>
      </c>
      <c r="I51" s="75">
        <v>24</v>
      </c>
      <c r="J51" s="75">
        <v>72</v>
      </c>
      <c r="K51" s="75">
        <v>24</v>
      </c>
      <c r="L51" s="133">
        <f>'[1]Победы 6-А'!H66+'[1]Победы 6-А'!I66</f>
        <v>53</v>
      </c>
      <c r="M51" s="57">
        <f>'[1]Победы 6-А'!E69</f>
        <v>1587.5</v>
      </c>
      <c r="N51" s="57">
        <f>'[1]Победы 6-А'!E70</f>
        <v>0</v>
      </c>
      <c r="O51" s="54">
        <f>M51+N51</f>
        <v>1587.5</v>
      </c>
      <c r="P51" s="76"/>
      <c r="Q51" s="76"/>
      <c r="R51" s="77">
        <f>'[1]Победы 6-А'!F69</f>
        <v>949.2</v>
      </c>
      <c r="S51" s="77">
        <f>'[1]Победы 6-А'!F70</f>
        <v>0</v>
      </c>
      <c r="T51" s="57">
        <f>R51+S51</f>
        <v>949.2</v>
      </c>
      <c r="U51" s="57"/>
      <c r="V51" s="57"/>
      <c r="W51" s="78">
        <f>O51</f>
        <v>1587.5</v>
      </c>
      <c r="X51" s="76">
        <f>T51</f>
        <v>949.2</v>
      </c>
      <c r="Y51" s="76">
        <f t="shared" si="27"/>
        <v>1587.5</v>
      </c>
      <c r="Z51" s="76">
        <f t="shared" si="27"/>
        <v>949.2</v>
      </c>
      <c r="AA51" s="76"/>
      <c r="AB51" s="76"/>
      <c r="AC51" s="76">
        <f t="shared" si="24"/>
        <v>1587.5</v>
      </c>
      <c r="AD51" s="57">
        <f t="shared" si="24"/>
        <v>949.2</v>
      </c>
      <c r="AE51" s="57"/>
      <c r="AF51" s="57"/>
      <c r="AG51" s="57"/>
      <c r="AH51" s="57"/>
      <c r="AI51" s="57"/>
      <c r="AJ51" s="57"/>
      <c r="AK51" s="57">
        <f t="shared" si="28"/>
        <v>1587.5</v>
      </c>
      <c r="AL51" s="57">
        <f t="shared" si="28"/>
        <v>949.2</v>
      </c>
      <c r="AM51" s="57"/>
      <c r="AN51" s="57"/>
      <c r="AO51" s="57">
        <f>Y51</f>
        <v>1587.5</v>
      </c>
      <c r="AP51" s="57">
        <f>Z51</f>
        <v>949.2</v>
      </c>
      <c r="AQ51" s="185"/>
      <c r="AR51" s="185"/>
      <c r="AS51" s="57"/>
      <c r="AT51" s="57"/>
      <c r="AU51" s="57">
        <v>1189.2</v>
      </c>
      <c r="AV51" s="57">
        <v>830.2</v>
      </c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>
        <v>316.5</v>
      </c>
      <c r="BH51" s="57"/>
      <c r="BI51" s="57"/>
      <c r="BJ51" s="57"/>
      <c r="BK51" s="80"/>
      <c r="BL51" s="57"/>
      <c r="BM51" s="57"/>
      <c r="BN51" s="57"/>
      <c r="BO51" s="57"/>
      <c r="BP51" s="81">
        <f t="shared" si="6"/>
        <v>261.67539999999997</v>
      </c>
      <c r="BQ51" s="57"/>
      <c r="BR51" s="186">
        <v>261.68</v>
      </c>
      <c r="BS51" s="81"/>
      <c r="BT51" s="81">
        <v>217.7</v>
      </c>
      <c r="BU51" s="81">
        <v>217.7</v>
      </c>
      <c r="BV51" s="187">
        <v>878</v>
      </c>
      <c r="BW51" s="81"/>
      <c r="BX51" s="81"/>
      <c r="BY51" s="82"/>
      <c r="BZ51" s="84"/>
      <c r="CA51" s="84"/>
      <c r="CB51" s="84"/>
      <c r="CC51" s="85"/>
      <c r="CD51" s="85"/>
      <c r="CE51" s="85"/>
      <c r="CF51" s="85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6"/>
      <c r="CW51" s="86"/>
      <c r="CX51" s="80"/>
      <c r="CY51" s="80"/>
      <c r="CZ51" s="80"/>
      <c r="DA51" s="80"/>
      <c r="DB51" s="80"/>
      <c r="DC51" s="80"/>
      <c r="DD51" s="80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7"/>
      <c r="EC51" s="88">
        <f>33-0.72</f>
        <v>32.28</v>
      </c>
      <c r="ED51" s="88">
        <v>21.73</v>
      </c>
      <c r="EE51" s="65"/>
      <c r="EF51" s="65"/>
      <c r="EG51" s="88"/>
      <c r="EH51" s="88">
        <f>O51</f>
        <v>1587.5</v>
      </c>
      <c r="EI51" s="88"/>
      <c r="EJ51" s="66"/>
      <c r="EK51" s="66">
        <v>1189.2</v>
      </c>
      <c r="EL51" s="66">
        <f t="shared" si="29"/>
        <v>1587.5</v>
      </c>
      <c r="EM51" s="66"/>
      <c r="EN51" s="67"/>
      <c r="EO51" s="67"/>
      <c r="EP51" s="68"/>
      <c r="EQ51" s="68"/>
      <c r="ER51" s="69">
        <f t="shared" ref="ER51:ER56" si="31">M51*EE51</f>
        <v>0</v>
      </c>
      <c r="ES51" s="178"/>
      <c r="ET51" s="71"/>
      <c r="EU51" s="71"/>
    </row>
    <row r="52" spans="1:151">
      <c r="A52" s="47">
        <v>44</v>
      </c>
      <c r="B52" s="73" t="s">
        <v>179</v>
      </c>
      <c r="C52" s="73">
        <v>6</v>
      </c>
      <c r="D52" s="74" t="s">
        <v>149</v>
      </c>
      <c r="E52" s="116" t="s">
        <v>150</v>
      </c>
      <c r="F52" s="80">
        <v>1968</v>
      </c>
      <c r="G52" s="57">
        <v>5</v>
      </c>
      <c r="H52" s="57">
        <v>4</v>
      </c>
      <c r="I52" s="117">
        <v>59</v>
      </c>
      <c r="J52" s="117">
        <v>117</v>
      </c>
      <c r="K52" s="117">
        <v>59</v>
      </c>
      <c r="L52" s="133">
        <f>'[1]Победы 6'!H65+'[1]Победы 6'!I65</f>
        <v>119</v>
      </c>
      <c r="M52" s="80">
        <v>2432.8000000000002</v>
      </c>
      <c r="N52" s="80">
        <v>164.5</v>
      </c>
      <c r="O52" s="54">
        <f t="shared" si="12"/>
        <v>2597.3000000000002</v>
      </c>
      <c r="P52" s="119"/>
      <c r="Q52" s="119"/>
      <c r="R52" s="77">
        <v>1645.7</v>
      </c>
      <c r="S52" s="77">
        <v>106.6</v>
      </c>
      <c r="T52" s="57">
        <f t="shared" si="13"/>
        <v>1752.3</v>
      </c>
      <c r="U52" s="80"/>
      <c r="V52" s="80"/>
      <c r="W52" s="78">
        <f t="shared" si="0"/>
        <v>2597.3000000000002</v>
      </c>
      <c r="X52" s="76">
        <f t="shared" si="1"/>
        <v>1752.3</v>
      </c>
      <c r="Y52" s="76">
        <f t="shared" si="27"/>
        <v>2597.3000000000002</v>
      </c>
      <c r="Z52" s="76">
        <f t="shared" si="27"/>
        <v>1752.3</v>
      </c>
      <c r="AA52" s="119"/>
      <c r="AB52" s="119"/>
      <c r="AC52" s="76">
        <f t="shared" si="24"/>
        <v>2597.3000000000002</v>
      </c>
      <c r="AD52" s="57">
        <f t="shared" si="24"/>
        <v>1752.3</v>
      </c>
      <c r="AE52" s="80"/>
      <c r="AF52" s="80"/>
      <c r="AG52" s="80"/>
      <c r="AH52" s="80"/>
      <c r="AI52" s="80"/>
      <c r="AJ52" s="80"/>
      <c r="AK52" s="57">
        <f t="shared" si="28"/>
        <v>2597.3000000000002</v>
      </c>
      <c r="AL52" s="57">
        <f t="shared" si="28"/>
        <v>1752.3</v>
      </c>
      <c r="AM52" s="80"/>
      <c r="AN52" s="80"/>
      <c r="AO52" s="80"/>
      <c r="AP52" s="80"/>
      <c r="AQ52" s="79">
        <f t="shared" si="25"/>
        <v>2597.3000000000002</v>
      </c>
      <c r="AR52" s="79">
        <f t="shared" si="25"/>
        <v>1752.3</v>
      </c>
      <c r="AS52" s="80">
        <v>918.9</v>
      </c>
      <c r="AT52" s="80">
        <v>628.6</v>
      </c>
      <c r="AU52" s="80"/>
      <c r="AV52" s="80"/>
      <c r="AW52" s="80"/>
      <c r="AX52" s="80"/>
      <c r="AY52" s="80">
        <v>19</v>
      </c>
      <c r="AZ52" s="188">
        <v>8222318</v>
      </c>
      <c r="BA52" s="80"/>
      <c r="BB52" s="80">
        <v>60.6</v>
      </c>
      <c r="BC52" s="80"/>
      <c r="BD52" s="80"/>
      <c r="BE52" s="80"/>
      <c r="BF52" s="80"/>
      <c r="BG52" s="80">
        <v>274</v>
      </c>
      <c r="BH52" s="80"/>
      <c r="BI52" s="80"/>
      <c r="BJ52" s="80"/>
      <c r="BK52" s="57"/>
      <c r="BL52" s="80"/>
      <c r="BM52" s="80"/>
      <c r="BN52" s="80"/>
      <c r="BO52" s="80"/>
      <c r="BP52" s="81">
        <f t="shared" si="6"/>
        <v>649.2002</v>
      </c>
      <c r="BQ52" s="80"/>
      <c r="BR52" s="120"/>
      <c r="BS52" s="83">
        <f>BP52</f>
        <v>649.2002</v>
      </c>
      <c r="BT52" s="120">
        <v>540.1</v>
      </c>
      <c r="BU52" s="120">
        <v>540.1</v>
      </c>
      <c r="BV52" s="120">
        <v>3303</v>
      </c>
      <c r="BW52" s="120"/>
      <c r="BX52" s="120"/>
      <c r="BY52" s="120"/>
      <c r="BZ52" s="86"/>
      <c r="CA52" s="121"/>
      <c r="CB52" s="86"/>
      <c r="CC52" s="120"/>
      <c r="CD52" s="120"/>
      <c r="CE52" s="120"/>
      <c r="CF52" s="120"/>
      <c r="CG52" s="80"/>
      <c r="CH52" s="117"/>
      <c r="CI52" s="80"/>
      <c r="CJ52" s="80"/>
      <c r="CK52" s="80"/>
      <c r="CL52" s="80"/>
      <c r="CM52" s="80"/>
      <c r="CN52" s="80"/>
      <c r="CO52" s="80"/>
      <c r="CP52" s="80"/>
      <c r="CQ52" s="80"/>
      <c r="CR52" s="120"/>
      <c r="CS52" s="80"/>
      <c r="CT52" s="80"/>
      <c r="CU52" s="80"/>
      <c r="CV52" s="86"/>
      <c r="CW52" s="117"/>
      <c r="CX52" s="117"/>
      <c r="CY52" s="80"/>
      <c r="CZ52" s="80"/>
      <c r="DA52" s="80"/>
      <c r="DB52" s="80"/>
      <c r="DC52" s="120"/>
      <c r="DD52" s="120"/>
      <c r="DE52" s="80"/>
      <c r="DF52" s="80"/>
      <c r="DG52" s="80"/>
      <c r="DH52" s="120"/>
      <c r="DI52" s="80"/>
      <c r="DJ52" s="80"/>
      <c r="DK52" s="80"/>
      <c r="DL52" s="80"/>
      <c r="DM52" s="80"/>
      <c r="DN52" s="117"/>
      <c r="DO52" s="80"/>
      <c r="DP52" s="117"/>
      <c r="DQ52" s="117"/>
      <c r="DR52" s="80"/>
      <c r="DS52" s="120"/>
      <c r="DT52" s="120"/>
      <c r="DU52" s="80"/>
      <c r="DV52" s="86"/>
      <c r="DW52" s="80"/>
      <c r="DX52" s="120"/>
      <c r="DY52" s="80"/>
      <c r="DZ52" s="80"/>
      <c r="EA52" s="80"/>
      <c r="EB52" s="122"/>
      <c r="EC52" s="88">
        <f>21.6-0.72</f>
        <v>20.880000000000003</v>
      </c>
      <c r="ED52" s="88"/>
      <c r="EE52" s="65"/>
      <c r="EF52" s="65"/>
      <c r="EG52" s="88"/>
      <c r="EH52" s="88">
        <v>2628.4</v>
      </c>
      <c r="EI52" s="88"/>
      <c r="EJ52" s="66"/>
      <c r="EK52" s="66"/>
      <c r="EL52" s="66">
        <f t="shared" si="29"/>
        <v>2597.3000000000002</v>
      </c>
      <c r="EM52" s="66"/>
      <c r="EN52" s="67">
        <f t="shared" si="15"/>
        <v>54880.992000000006</v>
      </c>
      <c r="EO52" s="67"/>
      <c r="EP52" s="68">
        <f t="shared" si="10"/>
        <v>0</v>
      </c>
      <c r="EQ52" s="68"/>
      <c r="ER52" s="69">
        <f t="shared" si="31"/>
        <v>0</v>
      </c>
      <c r="ES52" s="89">
        <v>10404.09</v>
      </c>
      <c r="ET52" s="71">
        <f t="shared" si="18"/>
        <v>-10404.09</v>
      </c>
      <c r="EU52" s="71">
        <f t="shared" si="16"/>
        <v>-2359.204081632653</v>
      </c>
    </row>
    <row r="53" spans="1:151">
      <c r="A53" s="47">
        <v>45</v>
      </c>
      <c r="B53" s="73" t="s">
        <v>179</v>
      </c>
      <c r="C53" s="73" t="s">
        <v>182</v>
      </c>
      <c r="D53" s="74" t="s">
        <v>149</v>
      </c>
      <c r="E53" s="116" t="s">
        <v>150</v>
      </c>
      <c r="F53" s="80">
        <v>1994</v>
      </c>
      <c r="G53" s="57">
        <v>5</v>
      </c>
      <c r="H53" s="57">
        <v>2</v>
      </c>
      <c r="I53" s="117">
        <v>30</v>
      </c>
      <c r="J53" s="117">
        <v>76</v>
      </c>
      <c r="K53" s="117">
        <v>30</v>
      </c>
      <c r="L53" s="133">
        <f>'[1]Победы 6Б'!H37</f>
        <v>66</v>
      </c>
      <c r="M53" s="80">
        <f>'[1]Победы 6Б'!E40</f>
        <v>1979.4000000000003</v>
      </c>
      <c r="N53" s="80">
        <f>'[1]Победы 6Б'!E39</f>
        <v>0</v>
      </c>
      <c r="O53" s="54">
        <f t="shared" si="12"/>
        <v>1979.4000000000003</v>
      </c>
      <c r="P53" s="119"/>
      <c r="Q53" s="119"/>
      <c r="R53" s="77">
        <f>'[1]Победы 6Б'!F40</f>
        <v>1218.4000000000001</v>
      </c>
      <c r="S53" s="77">
        <f>'[1]Победы 6Б'!F39</f>
        <v>0</v>
      </c>
      <c r="T53" s="57">
        <f t="shared" si="13"/>
        <v>1218.4000000000001</v>
      </c>
      <c r="U53" s="80"/>
      <c r="V53" s="80"/>
      <c r="W53" s="78">
        <f t="shared" si="0"/>
        <v>1979.4000000000003</v>
      </c>
      <c r="X53" s="76">
        <f t="shared" si="1"/>
        <v>1218.4000000000001</v>
      </c>
      <c r="Y53" s="76">
        <f t="shared" si="27"/>
        <v>1979.4000000000003</v>
      </c>
      <c r="Z53" s="76">
        <f t="shared" si="27"/>
        <v>1218.4000000000001</v>
      </c>
      <c r="AA53" s="119"/>
      <c r="AB53" s="119"/>
      <c r="AC53" s="76">
        <f t="shared" si="24"/>
        <v>1979.4000000000003</v>
      </c>
      <c r="AD53" s="57">
        <f t="shared" si="24"/>
        <v>1218.4000000000001</v>
      </c>
      <c r="AE53" s="80"/>
      <c r="AF53" s="80"/>
      <c r="AG53" s="80"/>
      <c r="AH53" s="80"/>
      <c r="AI53" s="80"/>
      <c r="AJ53" s="80"/>
      <c r="AK53" s="57">
        <f t="shared" si="28"/>
        <v>1979.4000000000003</v>
      </c>
      <c r="AL53" s="57">
        <f t="shared" si="28"/>
        <v>1218.4000000000001</v>
      </c>
      <c r="AM53" s="80"/>
      <c r="AN53" s="80"/>
      <c r="AO53" s="57">
        <f>Y53</f>
        <v>1979.4000000000003</v>
      </c>
      <c r="AP53" s="57">
        <f>Z53</f>
        <v>1218.4000000000001</v>
      </c>
      <c r="AQ53" s="185"/>
      <c r="AR53" s="185"/>
      <c r="AS53" s="80"/>
      <c r="AT53" s="80"/>
      <c r="AU53" s="80"/>
      <c r="AV53" s="80"/>
      <c r="AW53" s="80"/>
      <c r="AX53" s="80"/>
      <c r="AY53" s="80"/>
      <c r="AZ53" s="188"/>
      <c r="BA53" s="80"/>
      <c r="BB53" s="80"/>
      <c r="BC53" s="80"/>
      <c r="BD53" s="80"/>
      <c r="BE53" s="80"/>
      <c r="BF53" s="80"/>
      <c r="BG53" s="80">
        <v>162</v>
      </c>
      <c r="BH53" s="80"/>
      <c r="BI53" s="80"/>
      <c r="BJ53" s="80"/>
      <c r="BK53" s="57"/>
      <c r="BL53" s="80"/>
      <c r="BM53" s="80"/>
      <c r="BN53" s="80"/>
      <c r="BO53" s="80"/>
      <c r="BP53" s="81">
        <f t="shared" si="6"/>
        <v>527.31740000000002</v>
      </c>
      <c r="BQ53" s="80"/>
      <c r="BR53" s="189">
        <v>527.32000000000005</v>
      </c>
      <c r="BS53" s="83"/>
      <c r="BT53" s="120">
        <v>438.7</v>
      </c>
      <c r="BU53" s="120">
        <v>438.7</v>
      </c>
      <c r="BV53" s="190">
        <v>921.91</v>
      </c>
      <c r="BW53" s="120"/>
      <c r="BX53" s="120"/>
      <c r="BY53" s="120"/>
      <c r="BZ53" s="86"/>
      <c r="CA53" s="121"/>
      <c r="CB53" s="86"/>
      <c r="CC53" s="120"/>
      <c r="CD53" s="120"/>
      <c r="CE53" s="120"/>
      <c r="CF53" s="120"/>
      <c r="CG53" s="80"/>
      <c r="CH53" s="117"/>
      <c r="CI53" s="80"/>
      <c r="CJ53" s="80"/>
      <c r="CK53" s="80"/>
      <c r="CL53" s="80"/>
      <c r="CM53" s="80"/>
      <c r="CN53" s="80"/>
      <c r="CO53" s="80"/>
      <c r="CP53" s="80"/>
      <c r="CQ53" s="80"/>
      <c r="CR53" s="120"/>
      <c r="CS53" s="80"/>
      <c r="CT53" s="80"/>
      <c r="CU53" s="80"/>
      <c r="CV53" s="86"/>
      <c r="CW53" s="117"/>
      <c r="CX53" s="117"/>
      <c r="CY53" s="80"/>
      <c r="CZ53" s="80"/>
      <c r="DA53" s="80"/>
      <c r="DB53" s="80"/>
      <c r="DC53" s="120"/>
      <c r="DD53" s="120"/>
      <c r="DE53" s="80"/>
      <c r="DF53" s="80"/>
      <c r="DG53" s="80"/>
      <c r="DH53" s="120"/>
      <c r="DI53" s="80"/>
      <c r="DJ53" s="80"/>
      <c r="DK53" s="80"/>
      <c r="DL53" s="80"/>
      <c r="DM53" s="80"/>
      <c r="DN53" s="117"/>
      <c r="DO53" s="80"/>
      <c r="DP53" s="117"/>
      <c r="DQ53" s="117"/>
      <c r="DR53" s="80"/>
      <c r="DS53" s="120"/>
      <c r="DT53" s="120"/>
      <c r="DU53" s="80"/>
      <c r="DV53" s="86"/>
      <c r="DW53" s="80"/>
      <c r="DX53" s="120"/>
      <c r="DY53" s="80"/>
      <c r="DZ53" s="80"/>
      <c r="EA53" s="80"/>
      <c r="EB53" s="122"/>
      <c r="EC53" s="88">
        <f>22.45-0.72</f>
        <v>21.73</v>
      </c>
      <c r="ED53" s="88"/>
      <c r="EE53" s="65"/>
      <c r="EF53" s="65"/>
      <c r="EG53" s="88"/>
      <c r="EH53" s="88">
        <f>O53</f>
        <v>1979.4000000000003</v>
      </c>
      <c r="EI53" s="88"/>
      <c r="EJ53" s="66"/>
      <c r="EK53" s="66"/>
      <c r="EL53" s="66">
        <f t="shared" si="29"/>
        <v>1979.4000000000003</v>
      </c>
      <c r="EM53" s="66"/>
      <c r="EN53" s="67">
        <f t="shared" si="15"/>
        <v>43012.362000000008</v>
      </c>
      <c r="EO53" s="67"/>
      <c r="EP53" s="68">
        <f t="shared" si="10"/>
        <v>0</v>
      </c>
      <c r="EQ53" s="68"/>
      <c r="ER53" s="69">
        <f t="shared" si="31"/>
        <v>0</v>
      </c>
      <c r="ES53" s="89">
        <v>8872.2000000000007</v>
      </c>
      <c r="ET53" s="71">
        <f t="shared" si="18"/>
        <v>-8872.2000000000007</v>
      </c>
      <c r="EU53" s="71">
        <f t="shared" si="16"/>
        <v>-2011.8367346938776</v>
      </c>
    </row>
    <row r="54" spans="1:151">
      <c r="A54" s="47">
        <v>46</v>
      </c>
      <c r="B54" s="73" t="s">
        <v>179</v>
      </c>
      <c r="C54" s="73">
        <v>8</v>
      </c>
      <c r="D54" s="74" t="s">
        <v>149</v>
      </c>
      <c r="E54" s="116" t="s">
        <v>150</v>
      </c>
      <c r="F54" s="57">
        <v>1968</v>
      </c>
      <c r="G54" s="57">
        <v>5</v>
      </c>
      <c r="H54" s="57">
        <v>4</v>
      </c>
      <c r="I54" s="75">
        <v>60</v>
      </c>
      <c r="J54" s="75">
        <v>120</v>
      </c>
      <c r="K54" s="75">
        <v>60</v>
      </c>
      <c r="L54" s="133">
        <f>'[1]Победы 8'!H65+'[1]Победы 8'!I65</f>
        <v>115</v>
      </c>
      <c r="M54" s="57">
        <v>2542.6</v>
      </c>
      <c r="N54" s="57">
        <v>194.7</v>
      </c>
      <c r="O54" s="54">
        <f t="shared" si="12"/>
        <v>2737.2999999999997</v>
      </c>
      <c r="P54" s="76"/>
      <c r="Q54" s="76"/>
      <c r="R54" s="77">
        <v>1704.2</v>
      </c>
      <c r="S54" s="77">
        <v>134</v>
      </c>
      <c r="T54" s="57">
        <f t="shared" si="13"/>
        <v>1838.2</v>
      </c>
      <c r="U54" s="57"/>
      <c r="V54" s="57"/>
      <c r="W54" s="78">
        <f t="shared" si="0"/>
        <v>2737.2999999999997</v>
      </c>
      <c r="X54" s="76">
        <f t="shared" si="1"/>
        <v>1838.2</v>
      </c>
      <c r="Y54" s="76">
        <f t="shared" si="27"/>
        <v>2737.2999999999997</v>
      </c>
      <c r="Z54" s="76">
        <f t="shared" si="27"/>
        <v>1838.2</v>
      </c>
      <c r="AA54" s="76"/>
      <c r="AB54" s="76"/>
      <c r="AC54" s="76">
        <f t="shared" si="24"/>
        <v>2737.2999999999997</v>
      </c>
      <c r="AD54" s="57">
        <f t="shared" si="24"/>
        <v>1838.2</v>
      </c>
      <c r="AE54" s="57"/>
      <c r="AF54" s="57"/>
      <c r="AG54" s="57"/>
      <c r="AH54" s="57"/>
      <c r="AI54" s="57"/>
      <c r="AJ54" s="57"/>
      <c r="AK54" s="57">
        <f t="shared" si="28"/>
        <v>2737.2999999999997</v>
      </c>
      <c r="AL54" s="57">
        <f t="shared" si="28"/>
        <v>1838.2</v>
      </c>
      <c r="AM54" s="57"/>
      <c r="AN54" s="57"/>
      <c r="AO54" s="57"/>
      <c r="AP54" s="57"/>
      <c r="AQ54" s="79">
        <f t="shared" si="25"/>
        <v>2737.2999999999997</v>
      </c>
      <c r="AR54" s="79">
        <f t="shared" si="25"/>
        <v>1838.2</v>
      </c>
      <c r="AS54" s="57">
        <v>1157.2</v>
      </c>
      <c r="AT54" s="57">
        <v>796.6</v>
      </c>
      <c r="AU54" s="57"/>
      <c r="AV54" s="57"/>
      <c r="AW54" s="57"/>
      <c r="AX54" s="57"/>
      <c r="AY54" s="57">
        <v>24</v>
      </c>
      <c r="AZ54" s="57">
        <v>8390678</v>
      </c>
      <c r="BA54" s="57"/>
      <c r="BB54" s="57"/>
      <c r="BC54" s="57"/>
      <c r="BD54" s="57"/>
      <c r="BE54" s="57"/>
      <c r="BF54" s="57"/>
      <c r="BG54" s="57">
        <v>278.5</v>
      </c>
      <c r="BH54" s="57"/>
      <c r="BI54" s="57"/>
      <c r="BJ54" s="57"/>
      <c r="BK54" s="57"/>
      <c r="BL54" s="57"/>
      <c r="BM54" s="57"/>
      <c r="BN54" s="57"/>
      <c r="BO54" s="57"/>
      <c r="BP54" s="81">
        <f t="shared" si="6"/>
        <v>659.65759999999989</v>
      </c>
      <c r="BQ54" s="57"/>
      <c r="BR54" s="82"/>
      <c r="BS54" s="83">
        <f>BP54</f>
        <v>659.65759999999989</v>
      </c>
      <c r="BT54" s="82">
        <v>548.79999999999995</v>
      </c>
      <c r="BU54" s="82">
        <v>548.79999999999995</v>
      </c>
      <c r="BV54" s="82">
        <v>3051</v>
      </c>
      <c r="BW54" s="82"/>
      <c r="BX54" s="82"/>
      <c r="BY54" s="82"/>
      <c r="BZ54" s="57"/>
      <c r="CA54" s="57"/>
      <c r="CB54" s="57"/>
      <c r="CC54" s="82"/>
      <c r="CD54" s="82"/>
      <c r="CE54" s="82"/>
      <c r="CF54" s="82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84"/>
      <c r="CW54" s="84"/>
      <c r="CX54" s="57"/>
      <c r="CY54" s="57"/>
      <c r="CZ54" s="57"/>
      <c r="DA54" s="57"/>
      <c r="DB54" s="57"/>
      <c r="DC54" s="57"/>
      <c r="DD54" s="57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129"/>
      <c r="EC54" s="88">
        <f>21.6-0.72</f>
        <v>20.880000000000003</v>
      </c>
      <c r="ED54" s="88"/>
      <c r="EE54" s="65"/>
      <c r="EF54" s="65"/>
      <c r="EG54" s="88"/>
      <c r="EH54" s="88">
        <v>2732.4</v>
      </c>
      <c r="EI54" s="88"/>
      <c r="EJ54" s="66"/>
      <c r="EK54" s="66"/>
      <c r="EL54" s="66">
        <f t="shared" si="29"/>
        <v>2737.2999999999997</v>
      </c>
      <c r="EM54" s="66"/>
      <c r="EN54" s="67">
        <f t="shared" si="15"/>
        <v>57052.51200000001</v>
      </c>
      <c r="EO54" s="67"/>
      <c r="EP54" s="68">
        <f t="shared" si="10"/>
        <v>0</v>
      </c>
      <c r="EQ54" s="68"/>
      <c r="ER54" s="69">
        <f t="shared" si="31"/>
        <v>0</v>
      </c>
      <c r="ES54" s="89">
        <v>10407.700000000001</v>
      </c>
      <c r="ET54" s="71">
        <f t="shared" si="18"/>
        <v>-10407.700000000001</v>
      </c>
      <c r="EU54" s="71">
        <f t="shared" si="16"/>
        <v>-2360.0226757369614</v>
      </c>
    </row>
    <row r="55" spans="1:151">
      <c r="A55" s="47">
        <v>47</v>
      </c>
      <c r="B55" s="73" t="s">
        <v>179</v>
      </c>
      <c r="C55" s="73">
        <v>10</v>
      </c>
      <c r="D55" s="74" t="s">
        <v>149</v>
      </c>
      <c r="E55" s="116" t="s">
        <v>150</v>
      </c>
      <c r="F55" s="57">
        <v>1968</v>
      </c>
      <c r="G55" s="57">
        <v>5</v>
      </c>
      <c r="H55" s="57">
        <v>4</v>
      </c>
      <c r="I55" s="75">
        <v>60</v>
      </c>
      <c r="J55" s="75">
        <v>120</v>
      </c>
      <c r="K55" s="75">
        <v>60</v>
      </c>
      <c r="L55" s="133">
        <f>'[1]Победы 10'!H65+'[1]Победы 10'!I65</f>
        <v>121</v>
      </c>
      <c r="M55" s="57">
        <v>2447.4</v>
      </c>
      <c r="N55" s="118">
        <v>223.9</v>
      </c>
      <c r="O55" s="54">
        <f t="shared" si="12"/>
        <v>2671.3</v>
      </c>
      <c r="P55" s="76"/>
      <c r="Q55" s="76"/>
      <c r="R55" s="77">
        <v>1645.1</v>
      </c>
      <c r="S55" s="77">
        <v>150.5</v>
      </c>
      <c r="T55" s="57">
        <f t="shared" si="13"/>
        <v>1795.6</v>
      </c>
      <c r="U55" s="57"/>
      <c r="V55" s="57"/>
      <c r="W55" s="78">
        <f t="shared" si="0"/>
        <v>2671.3</v>
      </c>
      <c r="X55" s="76">
        <f t="shared" si="1"/>
        <v>1795.6</v>
      </c>
      <c r="Y55" s="76">
        <f t="shared" si="27"/>
        <v>2671.3</v>
      </c>
      <c r="Z55" s="76">
        <f t="shared" si="27"/>
        <v>1795.6</v>
      </c>
      <c r="AA55" s="76"/>
      <c r="AB55" s="76"/>
      <c r="AC55" s="76">
        <f t="shared" si="24"/>
        <v>2671.3</v>
      </c>
      <c r="AD55" s="57">
        <f t="shared" si="24"/>
        <v>1795.6</v>
      </c>
      <c r="AE55" s="57"/>
      <c r="AF55" s="57"/>
      <c r="AG55" s="57"/>
      <c r="AH55" s="57"/>
      <c r="AI55" s="57"/>
      <c r="AJ55" s="57"/>
      <c r="AK55" s="57">
        <f t="shared" si="28"/>
        <v>2671.3</v>
      </c>
      <c r="AL55" s="57">
        <f t="shared" si="28"/>
        <v>1795.6</v>
      </c>
      <c r="AM55" s="57"/>
      <c r="AN55" s="57"/>
      <c r="AO55" s="57"/>
      <c r="AP55" s="57"/>
      <c r="AQ55" s="79">
        <f t="shared" si="25"/>
        <v>2671.3</v>
      </c>
      <c r="AR55" s="79">
        <f t="shared" si="25"/>
        <v>1795.6</v>
      </c>
      <c r="AS55" s="57">
        <v>883.1</v>
      </c>
      <c r="AT55" s="57">
        <v>593.4</v>
      </c>
      <c r="AU55" s="57"/>
      <c r="AV55" s="57"/>
      <c r="AW55" s="57"/>
      <c r="AX55" s="57"/>
      <c r="AY55" s="57">
        <v>19</v>
      </c>
      <c r="AZ55" s="57">
        <v>8225897</v>
      </c>
      <c r="BA55" s="57"/>
      <c r="BB55" s="57"/>
      <c r="BC55" s="57"/>
      <c r="BD55" s="57"/>
      <c r="BE55" s="57"/>
      <c r="BF55" s="57"/>
      <c r="BG55" s="57">
        <v>280</v>
      </c>
      <c r="BH55" s="57"/>
      <c r="BI55" s="57"/>
      <c r="BJ55" s="57"/>
      <c r="BK55" s="80"/>
      <c r="BL55" s="57"/>
      <c r="BM55" s="57"/>
      <c r="BN55" s="57"/>
      <c r="BO55" s="57"/>
      <c r="BP55" s="81">
        <f t="shared" si="6"/>
        <v>658.69600000000003</v>
      </c>
      <c r="BQ55" s="57"/>
      <c r="BR55" s="82"/>
      <c r="BS55" s="83">
        <f>BP55</f>
        <v>658.69600000000003</v>
      </c>
      <c r="BT55" s="82">
        <v>548</v>
      </c>
      <c r="BU55" s="82">
        <v>548</v>
      </c>
      <c r="BV55" s="82">
        <v>3200.2</v>
      </c>
      <c r="BW55" s="82"/>
      <c r="BX55" s="82"/>
      <c r="BY55" s="82"/>
      <c r="BZ55" s="84"/>
      <c r="CA55" s="84"/>
      <c r="CB55" s="84"/>
      <c r="CC55" s="85"/>
      <c r="CD55" s="85"/>
      <c r="CE55" s="85"/>
      <c r="CF55" s="85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6"/>
      <c r="CW55" s="86"/>
      <c r="CX55" s="80"/>
      <c r="CY55" s="80"/>
      <c r="CZ55" s="80"/>
      <c r="DA55" s="80"/>
      <c r="DB55" s="80"/>
      <c r="DC55" s="80"/>
      <c r="DD55" s="80"/>
      <c r="DE55" s="86"/>
      <c r="DF55" s="86"/>
      <c r="DG55" s="86"/>
      <c r="DH55" s="86"/>
      <c r="DI55" s="86"/>
      <c r="DJ55" s="86"/>
      <c r="DK55" s="86"/>
      <c r="DL55" s="86"/>
      <c r="DM55" s="86"/>
      <c r="DN55" s="86"/>
      <c r="DO55" s="86"/>
      <c r="DP55" s="86"/>
      <c r="DQ55" s="86"/>
      <c r="DR55" s="86"/>
      <c r="DS55" s="86"/>
      <c r="DT55" s="86"/>
      <c r="DU55" s="86"/>
      <c r="DV55" s="86"/>
      <c r="DW55" s="86"/>
      <c r="DX55" s="86"/>
      <c r="DY55" s="86"/>
      <c r="DZ55" s="86"/>
      <c r="EA55" s="86"/>
      <c r="EB55" s="87"/>
      <c r="EC55" s="88">
        <f>21.6-0.72</f>
        <v>20.880000000000003</v>
      </c>
      <c r="ED55" s="88"/>
      <c r="EE55" s="65"/>
      <c r="EF55" s="65"/>
      <c r="EG55" s="88"/>
      <c r="EH55" s="88">
        <v>2715.6</v>
      </c>
      <c r="EI55" s="88"/>
      <c r="EJ55" s="66"/>
      <c r="EK55" s="66"/>
      <c r="EL55" s="66">
        <f t="shared" si="29"/>
        <v>2671.3</v>
      </c>
      <c r="EM55" s="66"/>
      <c r="EN55" s="67">
        <f t="shared" si="15"/>
        <v>56701.728000000003</v>
      </c>
      <c r="EO55" s="67"/>
      <c r="EP55" s="68">
        <f t="shared" si="10"/>
        <v>0</v>
      </c>
      <c r="EQ55" s="68"/>
      <c r="ER55" s="69">
        <f t="shared" si="31"/>
        <v>0</v>
      </c>
      <c r="ES55" s="89">
        <v>9643.35</v>
      </c>
      <c r="ET55" s="71">
        <f t="shared" si="18"/>
        <v>-9643.35</v>
      </c>
      <c r="EU55" s="71">
        <f t="shared" si="16"/>
        <v>-2186.7006802721089</v>
      </c>
    </row>
    <row r="56" spans="1:151">
      <c r="A56" s="47">
        <v>48</v>
      </c>
      <c r="B56" s="73" t="s">
        <v>179</v>
      </c>
      <c r="C56" s="73" t="s">
        <v>183</v>
      </c>
      <c r="D56" s="74" t="s">
        <v>155</v>
      </c>
      <c r="E56" s="116" t="s">
        <v>150</v>
      </c>
      <c r="F56" s="191">
        <v>1994</v>
      </c>
      <c r="G56" s="57">
        <v>5</v>
      </c>
      <c r="H56" s="57">
        <v>1</v>
      </c>
      <c r="I56" s="75">
        <v>6</v>
      </c>
      <c r="J56" s="75">
        <v>23</v>
      </c>
      <c r="K56" s="75">
        <v>23</v>
      </c>
      <c r="L56" s="133">
        <f>'[1]Победы 10Б'!H10</f>
        <v>15</v>
      </c>
      <c r="M56" s="57">
        <f>'[1]Победы 10Б'!E11</f>
        <v>768.99999999999989</v>
      </c>
      <c r="N56" s="118">
        <f>'[1]Победы 10Б'!E14</f>
        <v>0</v>
      </c>
      <c r="O56" s="131">
        <f t="shared" si="12"/>
        <v>768.99999999999989</v>
      </c>
      <c r="P56" s="76"/>
      <c r="Q56" s="76"/>
      <c r="R56" s="77">
        <f>'[1]Победы 10Б'!F11</f>
        <v>505.3</v>
      </c>
      <c r="S56" s="77">
        <f>'[1]Победы 10Б'!F14</f>
        <v>0</v>
      </c>
      <c r="T56" s="57">
        <f t="shared" si="13"/>
        <v>505.3</v>
      </c>
      <c r="U56" s="57"/>
      <c r="V56" s="57"/>
      <c r="W56" s="78">
        <f t="shared" si="0"/>
        <v>768.99999999999989</v>
      </c>
      <c r="X56" s="76">
        <f t="shared" si="1"/>
        <v>505.3</v>
      </c>
      <c r="Y56" s="76">
        <f t="shared" si="27"/>
        <v>768.99999999999989</v>
      </c>
      <c r="Z56" s="76">
        <f t="shared" si="27"/>
        <v>505.3</v>
      </c>
      <c r="AA56" s="76"/>
      <c r="AB56" s="76"/>
      <c r="AC56" s="76">
        <f t="shared" si="24"/>
        <v>768.99999999999989</v>
      </c>
      <c r="AD56" s="57">
        <f t="shared" si="24"/>
        <v>505.3</v>
      </c>
      <c r="AE56" s="57"/>
      <c r="AF56" s="57"/>
      <c r="AG56" s="57"/>
      <c r="AH56" s="57"/>
      <c r="AI56" s="57"/>
      <c r="AJ56" s="57"/>
      <c r="AK56" s="57">
        <f t="shared" si="28"/>
        <v>768.99999999999989</v>
      </c>
      <c r="AL56" s="57">
        <f t="shared" si="28"/>
        <v>505.3</v>
      </c>
      <c r="AM56" s="57"/>
      <c r="AN56" s="57"/>
      <c r="AO56" s="57"/>
      <c r="AP56" s="57"/>
      <c r="AQ56" s="79">
        <f t="shared" si="25"/>
        <v>768.99999999999989</v>
      </c>
      <c r="AR56" s="79">
        <f t="shared" si="25"/>
        <v>505.3</v>
      </c>
      <c r="AS56" s="57"/>
      <c r="AT56" s="57"/>
      <c r="AU56" s="57"/>
      <c r="AV56" s="57"/>
      <c r="AW56" s="57"/>
      <c r="AX56" s="57"/>
      <c r="AY56" s="57"/>
      <c r="AZ56" s="57">
        <v>36258000</v>
      </c>
      <c r="BA56" s="57"/>
      <c r="BB56" s="57">
        <f>'[1]Победы 10Б'!E12</f>
        <v>0</v>
      </c>
      <c r="BC56" s="57"/>
      <c r="BD56" s="57"/>
      <c r="BE56" s="57"/>
      <c r="BF56" s="57"/>
      <c r="BG56" s="57">
        <v>108.6</v>
      </c>
      <c r="BH56" s="57"/>
      <c r="BI56" s="57"/>
      <c r="BJ56" s="57"/>
      <c r="BK56" s="80"/>
      <c r="BL56" s="57"/>
      <c r="BM56" s="57"/>
      <c r="BN56" s="57"/>
      <c r="BO56" s="57"/>
      <c r="BP56" s="192">
        <f>BT56*1.202</f>
        <v>316.72699999999998</v>
      </c>
      <c r="BQ56" s="57"/>
      <c r="BR56" s="186">
        <f>BP56</f>
        <v>316.72699999999998</v>
      </c>
      <c r="BS56" s="83"/>
      <c r="BT56" s="82">
        <v>263.5</v>
      </c>
      <c r="BU56" s="82">
        <v>263.5</v>
      </c>
      <c r="BV56" s="82">
        <v>1059.5</v>
      </c>
      <c r="BW56" s="82"/>
      <c r="BX56" s="82"/>
      <c r="BY56" s="82"/>
      <c r="BZ56" s="84"/>
      <c r="CA56" s="84"/>
      <c r="CB56" s="84"/>
      <c r="CC56" s="85"/>
      <c r="CD56" s="85"/>
      <c r="CE56" s="85"/>
      <c r="CF56" s="85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6"/>
      <c r="CW56" s="86"/>
      <c r="CX56" s="80"/>
      <c r="CY56" s="80"/>
      <c r="CZ56" s="80"/>
      <c r="DA56" s="80"/>
      <c r="DB56" s="80"/>
      <c r="DC56" s="80"/>
      <c r="DD56" s="80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7"/>
      <c r="EC56" s="88">
        <f>26.64-0.72</f>
        <v>25.92</v>
      </c>
      <c r="ED56" s="88"/>
      <c r="EE56" s="65"/>
      <c r="EF56" s="65"/>
      <c r="EG56" s="88"/>
      <c r="EH56" s="88">
        <f>O56</f>
        <v>768.99999999999989</v>
      </c>
      <c r="EI56" s="88"/>
      <c r="EJ56" s="66"/>
      <c r="EK56" s="66"/>
      <c r="EL56" s="66">
        <f t="shared" si="29"/>
        <v>768.99999999999989</v>
      </c>
      <c r="EM56" s="66"/>
      <c r="EN56" s="67">
        <f t="shared" si="15"/>
        <v>19932.48</v>
      </c>
      <c r="EO56" s="67"/>
      <c r="EP56" s="68">
        <f t="shared" si="10"/>
        <v>0</v>
      </c>
      <c r="EQ56" s="68"/>
      <c r="ER56" s="69">
        <f t="shared" si="31"/>
        <v>0</v>
      </c>
      <c r="ES56" s="89"/>
      <c r="ET56" s="71"/>
      <c r="EU56" s="71"/>
    </row>
    <row r="57" spans="1:151">
      <c r="A57" s="47">
        <v>48</v>
      </c>
      <c r="B57" s="73" t="s">
        <v>179</v>
      </c>
      <c r="C57" s="73" t="s">
        <v>184</v>
      </c>
      <c r="D57" s="74" t="s">
        <v>155</v>
      </c>
      <c r="E57" s="116" t="s">
        <v>150</v>
      </c>
      <c r="F57" s="191">
        <v>1996</v>
      </c>
      <c r="G57" s="57">
        <v>5</v>
      </c>
      <c r="H57" s="57">
        <v>1</v>
      </c>
      <c r="I57" s="75">
        <v>12</v>
      </c>
      <c r="J57" s="75">
        <v>47</v>
      </c>
      <c r="K57" s="75">
        <v>47</v>
      </c>
      <c r="L57" s="133">
        <f>'[1]Победы 10Б'!H32</f>
        <v>15</v>
      </c>
      <c r="M57" s="57">
        <f>'[1]Победы 10Б'!E33</f>
        <v>1610.6000000000001</v>
      </c>
      <c r="N57" s="118">
        <f>'[1]Победы 10Б'!E36</f>
        <v>0</v>
      </c>
      <c r="O57" s="131">
        <f t="shared" si="12"/>
        <v>1610.6000000000001</v>
      </c>
      <c r="P57" s="76"/>
      <c r="Q57" s="76"/>
      <c r="R57" s="77">
        <f>'[1]Победы 10Б'!F33</f>
        <v>991.6</v>
      </c>
      <c r="S57" s="77">
        <f>'[1]Победы 10Б'!F36</f>
        <v>0</v>
      </c>
      <c r="T57" s="57">
        <f t="shared" si="13"/>
        <v>991.6</v>
      </c>
      <c r="U57" s="57"/>
      <c r="V57" s="57"/>
      <c r="W57" s="78">
        <f t="shared" si="0"/>
        <v>1610.6000000000001</v>
      </c>
      <c r="X57" s="76">
        <f t="shared" si="1"/>
        <v>991.6</v>
      </c>
      <c r="Y57" s="76">
        <f t="shared" si="27"/>
        <v>1610.6000000000001</v>
      </c>
      <c r="Z57" s="76">
        <f t="shared" si="27"/>
        <v>991.6</v>
      </c>
      <c r="AA57" s="76"/>
      <c r="AB57" s="76"/>
      <c r="AC57" s="76">
        <f t="shared" si="24"/>
        <v>1610.6000000000001</v>
      </c>
      <c r="AD57" s="57">
        <f t="shared" si="24"/>
        <v>991.6</v>
      </c>
      <c r="AE57" s="57"/>
      <c r="AF57" s="57"/>
      <c r="AG57" s="57"/>
      <c r="AH57" s="57"/>
      <c r="AI57" s="57"/>
      <c r="AJ57" s="57"/>
      <c r="AK57" s="57">
        <f t="shared" si="28"/>
        <v>1610.6000000000001</v>
      </c>
      <c r="AL57" s="57">
        <f t="shared" si="28"/>
        <v>991.6</v>
      </c>
      <c r="AM57" s="57"/>
      <c r="AN57" s="57"/>
      <c r="AO57" s="57"/>
      <c r="AP57" s="57"/>
      <c r="AQ57" s="79">
        <f t="shared" si="25"/>
        <v>1610.6000000000001</v>
      </c>
      <c r="AR57" s="79">
        <f t="shared" si="25"/>
        <v>991.6</v>
      </c>
      <c r="AS57" s="57"/>
      <c r="AT57" s="57"/>
      <c r="AU57" s="57"/>
      <c r="AV57" s="57"/>
      <c r="AW57" s="57"/>
      <c r="AX57" s="57"/>
      <c r="AY57" s="57"/>
      <c r="AZ57" s="57"/>
      <c r="BA57" s="57"/>
      <c r="BB57" s="57">
        <f>'[1]Победы 10Б'!E34</f>
        <v>1543.7</v>
      </c>
      <c r="BC57" s="57"/>
      <c r="BD57" s="57"/>
      <c r="BE57" s="57"/>
      <c r="BF57" s="57"/>
      <c r="BG57" s="57">
        <v>155.69999999999999</v>
      </c>
      <c r="BH57" s="57"/>
      <c r="BI57" s="57"/>
      <c r="BJ57" s="57"/>
      <c r="BK57" s="80"/>
      <c r="BL57" s="57"/>
      <c r="BM57" s="57"/>
      <c r="BN57" s="57"/>
      <c r="BO57" s="57"/>
      <c r="BP57" s="192">
        <f>BT57*1.202</f>
        <v>347.61839999999995</v>
      </c>
      <c r="BQ57" s="57"/>
      <c r="BR57" s="186">
        <f>BP57</f>
        <v>347.61839999999995</v>
      </c>
      <c r="BS57" s="83"/>
      <c r="BT57" s="82">
        <v>289.2</v>
      </c>
      <c r="BU57" s="82">
        <v>289.2</v>
      </c>
      <c r="BV57" s="82">
        <v>1059.5</v>
      </c>
      <c r="BW57" s="82"/>
      <c r="BX57" s="82"/>
      <c r="BY57" s="82"/>
      <c r="BZ57" s="84"/>
      <c r="CA57" s="84"/>
      <c r="CB57" s="84"/>
      <c r="CC57" s="85"/>
      <c r="CD57" s="85"/>
      <c r="CE57" s="85"/>
      <c r="CF57" s="85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6"/>
      <c r="CW57" s="86"/>
      <c r="CX57" s="80"/>
      <c r="CY57" s="80"/>
      <c r="CZ57" s="80"/>
      <c r="DA57" s="80"/>
      <c r="DB57" s="80"/>
      <c r="DC57" s="80"/>
      <c r="DD57" s="80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7"/>
      <c r="EC57" s="88">
        <f>26.64-0.72</f>
        <v>25.92</v>
      </c>
      <c r="ED57" s="88"/>
      <c r="EE57" s="65"/>
      <c r="EF57" s="65"/>
      <c r="EG57" s="88"/>
      <c r="EH57" s="88"/>
      <c r="EI57" s="88"/>
      <c r="EJ57" s="66"/>
      <c r="EK57" s="66"/>
      <c r="EL57" s="66"/>
      <c r="EM57" s="66"/>
      <c r="EN57" s="67"/>
      <c r="EO57" s="67"/>
      <c r="EP57" s="68"/>
      <c r="EQ57" s="68"/>
      <c r="ER57" s="69"/>
      <c r="ES57" s="89"/>
      <c r="ET57" s="71"/>
      <c r="EU57" s="71"/>
    </row>
    <row r="58" spans="1:151">
      <c r="A58" s="47">
        <v>48</v>
      </c>
      <c r="B58" s="73" t="s">
        <v>179</v>
      </c>
      <c r="C58" s="73" t="s">
        <v>185</v>
      </c>
      <c r="D58" s="74" t="s">
        <v>155</v>
      </c>
      <c r="E58" s="116" t="s">
        <v>150</v>
      </c>
      <c r="F58" s="191">
        <v>1997</v>
      </c>
      <c r="G58" s="57">
        <v>5</v>
      </c>
      <c r="H58" s="57">
        <v>1</v>
      </c>
      <c r="I58" s="75">
        <v>8</v>
      </c>
      <c r="J58" s="75">
        <v>26</v>
      </c>
      <c r="K58" s="75">
        <v>26</v>
      </c>
      <c r="L58" s="133">
        <f>'[1]Победы 10Б'!H50</f>
        <v>19</v>
      </c>
      <c r="M58" s="57">
        <f>'[1]Победы 10Б'!E51</f>
        <v>990</v>
      </c>
      <c r="N58" s="118">
        <f>'[1]Победы 10Б'!E54</f>
        <v>0</v>
      </c>
      <c r="O58" s="131">
        <f t="shared" si="12"/>
        <v>990</v>
      </c>
      <c r="P58" s="76"/>
      <c r="Q58" s="76"/>
      <c r="R58" s="77">
        <f>'[1]Победы 10Б'!F51</f>
        <v>605</v>
      </c>
      <c r="S58" s="77">
        <f>'[1]Победы 10Б'!F54</f>
        <v>0</v>
      </c>
      <c r="T58" s="57">
        <f t="shared" si="13"/>
        <v>605</v>
      </c>
      <c r="U58" s="57"/>
      <c r="V58" s="57"/>
      <c r="W58" s="78">
        <f t="shared" si="0"/>
        <v>990</v>
      </c>
      <c r="X58" s="76">
        <f t="shared" si="1"/>
        <v>605</v>
      </c>
      <c r="Y58" s="76">
        <f t="shared" si="27"/>
        <v>990</v>
      </c>
      <c r="Z58" s="76">
        <f t="shared" si="27"/>
        <v>605</v>
      </c>
      <c r="AA58" s="76"/>
      <c r="AB58" s="76"/>
      <c r="AC58" s="76">
        <f t="shared" si="24"/>
        <v>990</v>
      </c>
      <c r="AD58" s="57">
        <f t="shared" si="24"/>
        <v>605</v>
      </c>
      <c r="AE58" s="57"/>
      <c r="AF58" s="57"/>
      <c r="AG58" s="57"/>
      <c r="AH58" s="57"/>
      <c r="AI58" s="57"/>
      <c r="AJ58" s="57"/>
      <c r="AK58" s="57">
        <f t="shared" si="28"/>
        <v>990</v>
      </c>
      <c r="AL58" s="57">
        <f t="shared" si="28"/>
        <v>605</v>
      </c>
      <c r="AM58" s="57"/>
      <c r="AN58" s="57"/>
      <c r="AO58" s="57"/>
      <c r="AP58" s="57"/>
      <c r="AQ58" s="79">
        <f t="shared" si="25"/>
        <v>990</v>
      </c>
      <c r="AR58" s="79">
        <f t="shared" si="25"/>
        <v>605</v>
      </c>
      <c r="AS58" s="57"/>
      <c r="AT58" s="57"/>
      <c r="AU58" s="57"/>
      <c r="AV58" s="57"/>
      <c r="AW58" s="57"/>
      <c r="AX58" s="57"/>
      <c r="AY58" s="57"/>
      <c r="AZ58" s="57"/>
      <c r="BA58" s="57"/>
      <c r="BB58" s="57">
        <f>'[1]Победы 10Б'!E52</f>
        <v>168</v>
      </c>
      <c r="BC58" s="57"/>
      <c r="BD58" s="57"/>
      <c r="BE58" s="57"/>
      <c r="BF58" s="57"/>
      <c r="BG58" s="57">
        <v>103</v>
      </c>
      <c r="BH58" s="57"/>
      <c r="BI58" s="57"/>
      <c r="BJ58" s="57"/>
      <c r="BK58" s="80"/>
      <c r="BL58" s="57"/>
      <c r="BM58" s="57"/>
      <c r="BN58" s="57"/>
      <c r="BO58" s="57"/>
      <c r="BP58" s="192">
        <f>BT58*1.202</f>
        <v>335.47820000000002</v>
      </c>
      <c r="BQ58" s="57"/>
      <c r="BR58" s="186">
        <f>BP58</f>
        <v>335.47820000000002</v>
      </c>
      <c r="BS58" s="83"/>
      <c r="BT58" s="82">
        <v>279.10000000000002</v>
      </c>
      <c r="BU58" s="82">
        <v>279.10000000000002</v>
      </c>
      <c r="BV58" s="82">
        <v>1059.5</v>
      </c>
      <c r="BW58" s="82"/>
      <c r="BX58" s="82"/>
      <c r="BY58" s="82"/>
      <c r="BZ58" s="84"/>
      <c r="CA58" s="84"/>
      <c r="CB58" s="84"/>
      <c r="CC58" s="85"/>
      <c r="CD58" s="85"/>
      <c r="CE58" s="85"/>
      <c r="CF58" s="85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6"/>
      <c r="CW58" s="86"/>
      <c r="CX58" s="80"/>
      <c r="CY58" s="80"/>
      <c r="CZ58" s="80"/>
      <c r="DA58" s="80"/>
      <c r="DB58" s="80"/>
      <c r="DC58" s="80"/>
      <c r="DD58" s="80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86"/>
      <c r="DU58" s="86"/>
      <c r="DV58" s="86"/>
      <c r="DW58" s="86"/>
      <c r="DX58" s="86"/>
      <c r="DY58" s="86"/>
      <c r="DZ58" s="86"/>
      <c r="EA58" s="86"/>
      <c r="EB58" s="87"/>
      <c r="EC58" s="88">
        <f>26.64-0.72</f>
        <v>25.92</v>
      </c>
      <c r="ED58" s="88"/>
      <c r="EE58" s="65"/>
      <c r="EF58" s="65"/>
      <c r="EG58" s="88"/>
      <c r="EH58" s="88"/>
      <c r="EI58" s="88"/>
      <c r="EJ58" s="66"/>
      <c r="EK58" s="66"/>
      <c r="EL58" s="66"/>
      <c r="EM58" s="66"/>
      <c r="EN58" s="67"/>
      <c r="EO58" s="67"/>
      <c r="EP58" s="68"/>
      <c r="EQ58" s="68"/>
      <c r="ER58" s="69"/>
      <c r="ES58" s="89"/>
      <c r="ET58" s="71"/>
      <c r="EU58" s="71"/>
    </row>
    <row r="59" spans="1:151">
      <c r="A59" s="47">
        <v>49</v>
      </c>
      <c r="B59" s="73" t="s">
        <v>179</v>
      </c>
      <c r="C59" s="73">
        <v>12</v>
      </c>
      <c r="D59" s="74" t="s">
        <v>149</v>
      </c>
      <c r="E59" s="116" t="s">
        <v>150</v>
      </c>
      <c r="F59" s="57">
        <v>1968</v>
      </c>
      <c r="G59" s="57">
        <v>5</v>
      </c>
      <c r="H59" s="57">
        <v>4</v>
      </c>
      <c r="I59" s="117">
        <v>60</v>
      </c>
      <c r="J59" s="117">
        <v>120</v>
      </c>
      <c r="K59" s="117">
        <v>60</v>
      </c>
      <c r="L59" s="133">
        <f>'[1]Победы 12'!H65+'[1]Победы 12'!I65</f>
        <v>133</v>
      </c>
      <c r="M59" s="80">
        <f>'[1]Победы 12'!E68</f>
        <v>2357.1000000000004</v>
      </c>
      <c r="N59" s="80">
        <f>'[1]Победы 12'!E69</f>
        <v>348.09999999999997</v>
      </c>
      <c r="O59" s="54">
        <f t="shared" si="12"/>
        <v>2705.2000000000003</v>
      </c>
      <c r="P59" s="119"/>
      <c r="Q59" s="119"/>
      <c r="R59" s="77">
        <f>'[1]Победы 12'!F68</f>
        <v>1588.3</v>
      </c>
      <c r="S59" s="77">
        <f>'[1]Победы 12'!F69</f>
        <v>231.80000000000004</v>
      </c>
      <c r="T59" s="57">
        <f t="shared" si="13"/>
        <v>1820.1</v>
      </c>
      <c r="U59" s="80"/>
      <c r="V59" s="80"/>
      <c r="W59" s="78">
        <f t="shared" si="0"/>
        <v>2705.2000000000003</v>
      </c>
      <c r="X59" s="76">
        <f t="shared" si="1"/>
        <v>1820.1</v>
      </c>
      <c r="Y59" s="76">
        <f t="shared" si="27"/>
        <v>2705.2000000000003</v>
      </c>
      <c r="Z59" s="76">
        <f t="shared" si="27"/>
        <v>1820.1</v>
      </c>
      <c r="AA59" s="119"/>
      <c r="AB59" s="119"/>
      <c r="AC59" s="76">
        <f t="shared" si="24"/>
        <v>2705.2000000000003</v>
      </c>
      <c r="AD59" s="57">
        <f t="shared" si="24"/>
        <v>1820.1</v>
      </c>
      <c r="AE59" s="80"/>
      <c r="AF59" s="80"/>
      <c r="AG59" s="80"/>
      <c r="AH59" s="80"/>
      <c r="AI59" s="80"/>
      <c r="AJ59" s="80"/>
      <c r="AK59" s="57">
        <f t="shared" si="28"/>
        <v>2705.2000000000003</v>
      </c>
      <c r="AL59" s="57">
        <f t="shared" si="28"/>
        <v>1820.1</v>
      </c>
      <c r="AM59" s="80"/>
      <c r="AN59" s="80"/>
      <c r="AO59" s="80"/>
      <c r="AP59" s="80"/>
      <c r="AQ59" s="79">
        <f t="shared" si="25"/>
        <v>2705.2000000000003</v>
      </c>
      <c r="AR59" s="79">
        <f t="shared" si="25"/>
        <v>1820.1</v>
      </c>
      <c r="AS59" s="80">
        <v>891.5</v>
      </c>
      <c r="AT59" s="80">
        <v>618.1</v>
      </c>
      <c r="AU59" s="80"/>
      <c r="AV59" s="80"/>
      <c r="AW59" s="80"/>
      <c r="AX59" s="80"/>
      <c r="AY59" s="80">
        <v>18</v>
      </c>
      <c r="AZ59" s="80">
        <v>7936234</v>
      </c>
      <c r="BA59" s="80"/>
      <c r="BB59" s="80"/>
      <c r="BC59" s="80"/>
      <c r="BD59" s="80"/>
      <c r="BE59" s="80"/>
      <c r="BF59" s="80"/>
      <c r="BG59" s="80">
        <v>303.2</v>
      </c>
      <c r="BH59" s="80"/>
      <c r="BI59" s="80"/>
      <c r="BJ59" s="80"/>
      <c r="BK59" s="57"/>
      <c r="BL59" s="80"/>
      <c r="BM59" s="80"/>
      <c r="BN59" s="80"/>
      <c r="BO59" s="80"/>
      <c r="BP59" s="81">
        <f t="shared" si="6"/>
        <v>655.09</v>
      </c>
      <c r="BQ59" s="80"/>
      <c r="BR59" s="120"/>
      <c r="BS59" s="83">
        <f>BP59</f>
        <v>655.09</v>
      </c>
      <c r="BT59" s="120">
        <v>545</v>
      </c>
      <c r="BU59" s="120">
        <v>545</v>
      </c>
      <c r="BV59" s="120">
        <v>3249.7</v>
      </c>
      <c r="BW59" s="120"/>
      <c r="BX59" s="120"/>
      <c r="BY59" s="120"/>
      <c r="BZ59" s="86"/>
      <c r="CA59" s="121"/>
      <c r="CB59" s="86"/>
      <c r="CC59" s="120"/>
      <c r="CD59" s="120"/>
      <c r="CE59" s="120"/>
      <c r="CF59" s="120"/>
      <c r="CG59" s="80"/>
      <c r="CH59" s="117"/>
      <c r="CI59" s="80"/>
      <c r="CJ59" s="80"/>
      <c r="CK59" s="80"/>
      <c r="CL59" s="80"/>
      <c r="CM59" s="80"/>
      <c r="CN59" s="80"/>
      <c r="CO59" s="80"/>
      <c r="CP59" s="80"/>
      <c r="CQ59" s="80"/>
      <c r="CR59" s="120"/>
      <c r="CS59" s="80"/>
      <c r="CT59" s="80"/>
      <c r="CU59" s="80"/>
      <c r="CV59" s="86"/>
      <c r="CW59" s="117"/>
      <c r="CX59" s="117"/>
      <c r="CY59" s="80"/>
      <c r="CZ59" s="80"/>
      <c r="DA59" s="80"/>
      <c r="DB59" s="80"/>
      <c r="DC59" s="120"/>
      <c r="DD59" s="120"/>
      <c r="DE59" s="80"/>
      <c r="DF59" s="80"/>
      <c r="DG59" s="80"/>
      <c r="DH59" s="120"/>
      <c r="DI59" s="80"/>
      <c r="DJ59" s="80"/>
      <c r="DK59" s="80"/>
      <c r="DL59" s="80"/>
      <c r="DM59" s="80"/>
      <c r="DN59" s="117"/>
      <c r="DO59" s="80"/>
      <c r="DP59" s="117"/>
      <c r="DQ59" s="117"/>
      <c r="DR59" s="80"/>
      <c r="DS59" s="120"/>
      <c r="DT59" s="120"/>
      <c r="DU59" s="80"/>
      <c r="DV59" s="86"/>
      <c r="DW59" s="80"/>
      <c r="DX59" s="120"/>
      <c r="DY59" s="80"/>
      <c r="DZ59" s="80"/>
      <c r="EA59" s="80"/>
      <c r="EB59" s="122"/>
      <c r="EC59" s="88">
        <f>21.6-0.72</f>
        <v>20.880000000000003</v>
      </c>
      <c r="ED59" s="88"/>
      <c r="EE59" s="65"/>
      <c r="EF59" s="65"/>
      <c r="EG59" s="88"/>
      <c r="EH59" s="88">
        <f>O59</f>
        <v>2705.2000000000003</v>
      </c>
      <c r="EI59" s="88"/>
      <c r="EJ59" s="66"/>
      <c r="EK59" s="66"/>
      <c r="EL59" s="66">
        <f>O59-EJ59+EI59</f>
        <v>2705.2000000000003</v>
      </c>
      <c r="EM59" s="66"/>
      <c r="EN59" s="67">
        <f t="shared" si="15"/>
        <v>56484.576000000015</v>
      </c>
      <c r="EO59" s="67"/>
      <c r="EP59" s="68">
        <f t="shared" si="10"/>
        <v>0</v>
      </c>
      <c r="EQ59" s="68"/>
      <c r="ER59" s="69">
        <f>M59*EE59</f>
        <v>0</v>
      </c>
      <c r="ES59" s="89">
        <v>9826.7900000000009</v>
      </c>
      <c r="ET59" s="71">
        <f t="shared" si="18"/>
        <v>-9826.7900000000009</v>
      </c>
      <c r="EU59" s="71">
        <f t="shared" si="16"/>
        <v>-2228.2970521541952</v>
      </c>
    </row>
    <row r="60" spans="1:151">
      <c r="A60" s="47">
        <v>50</v>
      </c>
      <c r="B60" s="73" t="s">
        <v>179</v>
      </c>
      <c r="C60" s="193">
        <v>14</v>
      </c>
      <c r="D60" s="74" t="s">
        <v>149</v>
      </c>
      <c r="E60" s="116" t="s">
        <v>150</v>
      </c>
      <c r="F60" s="57">
        <v>1968</v>
      </c>
      <c r="G60" s="57">
        <v>5</v>
      </c>
      <c r="H60" s="57">
        <v>4</v>
      </c>
      <c r="I60" s="75">
        <v>60</v>
      </c>
      <c r="J60" s="75">
        <v>120</v>
      </c>
      <c r="K60" s="75">
        <v>60</v>
      </c>
      <c r="L60" s="133">
        <f>'[1]Победы 14'!H65+'[1]Победы 14'!I65</f>
        <v>97</v>
      </c>
      <c r="M60" s="57">
        <f>'[1]Победы 14'!E68</f>
        <v>2614.0000000000005</v>
      </c>
      <c r="N60" s="57">
        <f>'[1]Победы 14'!E69</f>
        <v>91</v>
      </c>
      <c r="O60" s="54">
        <f t="shared" si="12"/>
        <v>2705.0000000000005</v>
      </c>
      <c r="P60" s="76"/>
      <c r="Q60" s="76"/>
      <c r="R60" s="77">
        <f>'[1]Победы 14'!F68</f>
        <v>1751.6000000000001</v>
      </c>
      <c r="S60" s="77">
        <f>'[1]Победы 14'!F69</f>
        <v>61.900000000000006</v>
      </c>
      <c r="T60" s="57">
        <f t="shared" si="13"/>
        <v>1813.5000000000002</v>
      </c>
      <c r="U60" s="57"/>
      <c r="V60" s="57"/>
      <c r="W60" s="78">
        <f t="shared" si="0"/>
        <v>2705.0000000000005</v>
      </c>
      <c r="X60" s="76">
        <f t="shared" si="1"/>
        <v>1813.5000000000002</v>
      </c>
      <c r="Y60" s="76">
        <f t="shared" si="27"/>
        <v>2705.0000000000005</v>
      </c>
      <c r="Z60" s="76">
        <f t="shared" si="27"/>
        <v>1813.5000000000002</v>
      </c>
      <c r="AA60" s="76"/>
      <c r="AB60" s="76"/>
      <c r="AC60" s="76">
        <f t="shared" si="24"/>
        <v>2705.0000000000005</v>
      </c>
      <c r="AD60" s="57">
        <f t="shared" si="24"/>
        <v>1813.5000000000002</v>
      </c>
      <c r="AE60" s="57"/>
      <c r="AF60" s="57"/>
      <c r="AG60" s="57"/>
      <c r="AH60" s="57"/>
      <c r="AI60" s="57"/>
      <c r="AJ60" s="57"/>
      <c r="AK60" s="57">
        <f t="shared" si="28"/>
        <v>2705.0000000000005</v>
      </c>
      <c r="AL60" s="57">
        <f t="shared" si="28"/>
        <v>1813.5000000000002</v>
      </c>
      <c r="AM60" s="57"/>
      <c r="AN60" s="57"/>
      <c r="AO60" s="57"/>
      <c r="AP60" s="57"/>
      <c r="AQ60" s="79">
        <f t="shared" si="25"/>
        <v>2705.0000000000005</v>
      </c>
      <c r="AR60" s="79">
        <f t="shared" si="25"/>
        <v>1813.5000000000002</v>
      </c>
      <c r="AS60" s="57">
        <v>1235.4000000000001</v>
      </c>
      <c r="AT60" s="57">
        <v>837</v>
      </c>
      <c r="AU60" s="57"/>
      <c r="AV60" s="57"/>
      <c r="AW60" s="57"/>
      <c r="AX60" s="57"/>
      <c r="AY60" s="57">
        <v>27</v>
      </c>
      <c r="AZ60" s="57">
        <v>8258482</v>
      </c>
      <c r="BA60" s="57"/>
      <c r="BB60" s="57"/>
      <c r="BC60" s="57"/>
      <c r="BD60" s="57"/>
      <c r="BE60" s="57"/>
      <c r="BF60" s="57"/>
      <c r="BG60" s="57">
        <v>280</v>
      </c>
      <c r="BH60" s="57"/>
      <c r="BI60" s="57"/>
      <c r="BJ60" s="57"/>
      <c r="BK60" s="57"/>
      <c r="BL60" s="57"/>
      <c r="BM60" s="57"/>
      <c r="BN60" s="57"/>
      <c r="BO60" s="57"/>
      <c r="BP60" s="81">
        <f t="shared" si="6"/>
        <v>655.69100000000003</v>
      </c>
      <c r="BQ60" s="57"/>
      <c r="BR60" s="82"/>
      <c r="BS60" s="83">
        <f>BP60</f>
        <v>655.69100000000003</v>
      </c>
      <c r="BT60" s="82">
        <v>545.5</v>
      </c>
      <c r="BU60" s="82">
        <v>545.5</v>
      </c>
      <c r="BV60" s="82">
        <v>2553.8000000000002</v>
      </c>
      <c r="BW60" s="82"/>
      <c r="BX60" s="82"/>
      <c r="BY60" s="82"/>
      <c r="BZ60" s="57"/>
      <c r="CA60" s="57"/>
      <c r="CB60" s="57"/>
      <c r="CC60" s="82"/>
      <c r="CD60" s="82"/>
      <c r="CE60" s="82"/>
      <c r="CF60" s="82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84"/>
      <c r="CW60" s="84"/>
      <c r="CX60" s="57"/>
      <c r="CY60" s="57"/>
      <c r="CZ60" s="57"/>
      <c r="DA60" s="57"/>
      <c r="DB60" s="57"/>
      <c r="DC60" s="57"/>
      <c r="DD60" s="57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129"/>
      <c r="EC60" s="88">
        <f>21.6-0.72</f>
        <v>20.880000000000003</v>
      </c>
      <c r="ED60" s="88"/>
      <c r="EE60" s="65"/>
      <c r="EF60" s="65"/>
      <c r="EG60" s="88"/>
      <c r="EH60" s="88">
        <f>O60</f>
        <v>2705.0000000000005</v>
      </c>
      <c r="EI60" s="88"/>
      <c r="EJ60" s="66"/>
      <c r="EK60" s="66"/>
      <c r="EL60" s="66">
        <f>O60-EJ60+EI60</f>
        <v>2705.0000000000005</v>
      </c>
      <c r="EM60" s="66"/>
      <c r="EN60" s="67">
        <f t="shared" si="15"/>
        <v>56480.400000000016</v>
      </c>
      <c r="EO60" s="67"/>
      <c r="EP60" s="68">
        <f t="shared" si="10"/>
        <v>0</v>
      </c>
      <c r="EQ60" s="68"/>
      <c r="ER60" s="69">
        <f>M60*EE60</f>
        <v>0</v>
      </c>
      <c r="ES60" s="89">
        <v>11337.25</v>
      </c>
      <c r="ET60" s="71">
        <f t="shared" si="18"/>
        <v>-11337.25</v>
      </c>
      <c r="EU60" s="71">
        <f t="shared" si="16"/>
        <v>-2570.8049886621316</v>
      </c>
    </row>
    <row r="61" spans="1:151">
      <c r="A61" s="47">
        <v>51</v>
      </c>
      <c r="B61" s="73" t="s">
        <v>179</v>
      </c>
      <c r="C61" s="73">
        <v>16</v>
      </c>
      <c r="D61" s="74" t="s">
        <v>149</v>
      </c>
      <c r="E61" s="116" t="s">
        <v>150</v>
      </c>
      <c r="F61" s="57">
        <v>1968</v>
      </c>
      <c r="G61" s="57">
        <v>5</v>
      </c>
      <c r="H61" s="57">
        <v>4</v>
      </c>
      <c r="I61" s="75">
        <v>59</v>
      </c>
      <c r="J61" s="75">
        <v>117</v>
      </c>
      <c r="K61" s="75">
        <v>59</v>
      </c>
      <c r="L61" s="133">
        <f>'[1]Победы 16'!H66+'[1]Победы 16'!I66</f>
        <v>103</v>
      </c>
      <c r="M61" s="57">
        <f>'[1]Победы 16'!E69</f>
        <v>2536.7999999999993</v>
      </c>
      <c r="N61" s="57">
        <f>'[1]Победы 16'!E70</f>
        <v>108.80000000000001</v>
      </c>
      <c r="O61" s="54">
        <f t="shared" si="12"/>
        <v>2645.5999999999995</v>
      </c>
      <c r="P61" s="76"/>
      <c r="Q61" s="76"/>
      <c r="R61" s="77">
        <f>'[1]Победы 16'!F69</f>
        <v>1692.5</v>
      </c>
      <c r="S61" s="77">
        <f>'[1]Победы 16'!F70</f>
        <v>77.099999999999994</v>
      </c>
      <c r="T61" s="57">
        <f t="shared" si="13"/>
        <v>1769.6</v>
      </c>
      <c r="U61" s="57"/>
      <c r="V61" s="57"/>
      <c r="W61" s="78">
        <f t="shared" si="0"/>
        <v>2645.5999999999995</v>
      </c>
      <c r="X61" s="76">
        <f t="shared" si="1"/>
        <v>1769.6</v>
      </c>
      <c r="Y61" s="76">
        <f t="shared" si="27"/>
        <v>2645.5999999999995</v>
      </c>
      <c r="Z61" s="76">
        <f t="shared" si="27"/>
        <v>1769.6</v>
      </c>
      <c r="AA61" s="76"/>
      <c r="AB61" s="76"/>
      <c r="AC61" s="76">
        <f t="shared" si="24"/>
        <v>2645.5999999999995</v>
      </c>
      <c r="AD61" s="57">
        <f t="shared" si="24"/>
        <v>1769.6</v>
      </c>
      <c r="AE61" s="57"/>
      <c r="AF61" s="57"/>
      <c r="AG61" s="57"/>
      <c r="AH61" s="57"/>
      <c r="AI61" s="57"/>
      <c r="AJ61" s="57"/>
      <c r="AK61" s="57">
        <f t="shared" si="28"/>
        <v>2645.5999999999995</v>
      </c>
      <c r="AL61" s="57">
        <f t="shared" si="28"/>
        <v>1769.6</v>
      </c>
      <c r="AM61" s="57"/>
      <c r="AN61" s="57"/>
      <c r="AO61" s="57"/>
      <c r="AP61" s="57"/>
      <c r="AQ61" s="79">
        <f t="shared" si="25"/>
        <v>2645.5999999999995</v>
      </c>
      <c r="AR61" s="79">
        <f t="shared" si="25"/>
        <v>1769.6</v>
      </c>
      <c r="AS61" s="57">
        <v>854</v>
      </c>
      <c r="AT61" s="57">
        <v>565.79999999999995</v>
      </c>
      <c r="AU61" s="57"/>
      <c r="AV61" s="57"/>
      <c r="AW61" s="57"/>
      <c r="AX61" s="57"/>
      <c r="AY61" s="57">
        <v>19</v>
      </c>
      <c r="AZ61" s="57">
        <v>8050992</v>
      </c>
      <c r="BA61" s="57"/>
      <c r="BB61" s="57">
        <v>61.1</v>
      </c>
      <c r="BC61" s="57"/>
      <c r="BD61" s="57"/>
      <c r="BE61" s="57"/>
      <c r="BF61" s="57"/>
      <c r="BG61" s="57">
        <v>276.5</v>
      </c>
      <c r="BH61" s="57"/>
      <c r="BI61" s="57"/>
      <c r="BJ61" s="57"/>
      <c r="BK61" s="80"/>
      <c r="BL61" s="57"/>
      <c r="BM61" s="57"/>
      <c r="BN61" s="57"/>
      <c r="BO61" s="57"/>
      <c r="BP61" s="81">
        <f t="shared" si="6"/>
        <v>655.69100000000003</v>
      </c>
      <c r="BQ61" s="57"/>
      <c r="BR61" s="82"/>
      <c r="BS61" s="83">
        <f>BP61</f>
        <v>655.69100000000003</v>
      </c>
      <c r="BT61" s="82">
        <v>545.5</v>
      </c>
      <c r="BU61" s="82">
        <v>545.5</v>
      </c>
      <c r="BV61" s="82">
        <v>2885.5</v>
      </c>
      <c r="BW61" s="82"/>
      <c r="BX61" s="82"/>
      <c r="BY61" s="82"/>
      <c r="BZ61" s="84"/>
      <c r="CA61" s="84"/>
      <c r="CB61" s="84"/>
      <c r="CC61" s="85"/>
      <c r="CD61" s="85"/>
      <c r="CE61" s="85"/>
      <c r="CF61" s="85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6"/>
      <c r="CW61" s="86"/>
      <c r="CX61" s="80"/>
      <c r="CY61" s="80"/>
      <c r="CZ61" s="80"/>
      <c r="DA61" s="80"/>
      <c r="DB61" s="80"/>
      <c r="DC61" s="80"/>
      <c r="DD61" s="80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7"/>
      <c r="EC61" s="88">
        <f>21.6-0.72</f>
        <v>20.880000000000003</v>
      </c>
      <c r="ED61" s="88"/>
      <c r="EE61" s="65"/>
      <c r="EF61" s="65"/>
      <c r="EG61" s="88"/>
      <c r="EH61" s="88">
        <v>2645.6</v>
      </c>
      <c r="EI61" s="88"/>
      <c r="EJ61" s="66"/>
      <c r="EK61" s="66"/>
      <c r="EL61" s="66">
        <f>O61-EJ61+EI61</f>
        <v>2645.5999999999995</v>
      </c>
      <c r="EM61" s="66"/>
      <c r="EN61" s="67">
        <f t="shared" si="15"/>
        <v>55240.128000000004</v>
      </c>
      <c r="EO61" s="67"/>
      <c r="EP61" s="68">
        <f t="shared" si="10"/>
        <v>0</v>
      </c>
      <c r="EQ61" s="68"/>
      <c r="ER61" s="69">
        <f>M61*EE61</f>
        <v>0</v>
      </c>
      <c r="ES61" s="89">
        <v>10723.38</v>
      </c>
      <c r="ET61" s="71">
        <f t="shared" si="18"/>
        <v>-10723.38</v>
      </c>
      <c r="EU61" s="71">
        <f t="shared" si="16"/>
        <v>-2431.6054421768704</v>
      </c>
    </row>
    <row r="62" spans="1:151">
      <c r="A62" s="47">
        <v>52</v>
      </c>
      <c r="B62" s="73" t="s">
        <v>179</v>
      </c>
      <c r="C62" s="73">
        <v>18</v>
      </c>
      <c r="D62" s="74" t="s">
        <v>149</v>
      </c>
      <c r="E62" s="57" t="s">
        <v>150</v>
      </c>
      <c r="F62" s="57">
        <v>1968</v>
      </c>
      <c r="G62" s="57">
        <v>5</v>
      </c>
      <c r="H62" s="57">
        <v>6</v>
      </c>
      <c r="I62" s="117">
        <v>89</v>
      </c>
      <c r="J62" s="117">
        <v>217</v>
      </c>
      <c r="K62" s="117">
        <v>89</v>
      </c>
      <c r="L62" s="133">
        <f>'[1]победы 18'!H95+'[1]победы 18'!I95</f>
        <v>178</v>
      </c>
      <c r="M62" s="80">
        <v>4079.3</v>
      </c>
      <c r="N62" s="80">
        <v>213</v>
      </c>
      <c r="O62" s="54">
        <f t="shared" si="12"/>
        <v>4292.3</v>
      </c>
      <c r="P62" s="119"/>
      <c r="Q62" s="76"/>
      <c r="R62" s="77">
        <v>2862.4</v>
      </c>
      <c r="S62" s="77">
        <v>151.9</v>
      </c>
      <c r="T62" s="57">
        <f t="shared" si="13"/>
        <v>3014.3</v>
      </c>
      <c r="U62" s="80"/>
      <c r="V62" s="80"/>
      <c r="W62" s="78">
        <f t="shared" si="0"/>
        <v>4292.3</v>
      </c>
      <c r="X62" s="76">
        <f t="shared" si="1"/>
        <v>3014.3</v>
      </c>
      <c r="Y62" s="76">
        <f t="shared" si="27"/>
        <v>4292.3</v>
      </c>
      <c r="Z62" s="76">
        <f t="shared" si="27"/>
        <v>3014.3</v>
      </c>
      <c r="AA62" s="119"/>
      <c r="AB62" s="119"/>
      <c r="AC62" s="76">
        <f t="shared" si="24"/>
        <v>4292.3</v>
      </c>
      <c r="AD62" s="57">
        <f t="shared" si="24"/>
        <v>3014.3</v>
      </c>
      <c r="AE62" s="80"/>
      <c r="AF62" s="80"/>
      <c r="AG62" s="80"/>
      <c r="AH62" s="80"/>
      <c r="AI62" s="80"/>
      <c r="AJ62" s="80"/>
      <c r="AK62" s="57">
        <f t="shared" si="28"/>
        <v>4292.3</v>
      </c>
      <c r="AL62" s="57">
        <f t="shared" si="28"/>
        <v>3014.3</v>
      </c>
      <c r="AM62" s="80"/>
      <c r="AN62" s="80"/>
      <c r="AO62" s="80"/>
      <c r="AP62" s="80"/>
      <c r="AQ62" s="79">
        <f t="shared" si="25"/>
        <v>4292.3</v>
      </c>
      <c r="AR62" s="79">
        <f t="shared" si="25"/>
        <v>3014.3</v>
      </c>
      <c r="AS62" s="80">
        <v>970.2</v>
      </c>
      <c r="AT62" s="80">
        <v>684.4</v>
      </c>
      <c r="AU62" s="80"/>
      <c r="AV62" s="80"/>
      <c r="AW62" s="80"/>
      <c r="AX62" s="80"/>
      <c r="AY62" s="80">
        <v>19</v>
      </c>
      <c r="AZ62" s="80">
        <v>12438333</v>
      </c>
      <c r="BA62" s="80"/>
      <c r="BB62" s="80">
        <f>47.3+61+2.8</f>
        <v>111.1</v>
      </c>
      <c r="BC62" s="80"/>
      <c r="BD62" s="80"/>
      <c r="BE62" s="80"/>
      <c r="BF62" s="80"/>
      <c r="BG62" s="80">
        <v>417</v>
      </c>
      <c r="BH62" s="80"/>
      <c r="BI62" s="80"/>
      <c r="BJ62" s="80"/>
      <c r="BK62" s="57"/>
      <c r="BL62" s="80"/>
      <c r="BM62" s="80"/>
      <c r="BN62" s="80"/>
      <c r="BO62" s="80"/>
      <c r="BP62" s="81">
        <f t="shared" si="6"/>
        <v>1065.5729999999999</v>
      </c>
      <c r="BQ62" s="194">
        <f>BP62</f>
        <v>1065.5729999999999</v>
      </c>
      <c r="BR62" s="120"/>
      <c r="BS62" s="83"/>
      <c r="BT62" s="83">
        <v>886.5</v>
      </c>
      <c r="BU62" s="83">
        <v>886.5</v>
      </c>
      <c r="BV62" s="83">
        <v>3609.2</v>
      </c>
      <c r="BW62" s="83"/>
      <c r="BX62" s="83"/>
      <c r="BY62" s="120"/>
      <c r="BZ62" s="86"/>
      <c r="CA62" s="121"/>
      <c r="CB62" s="86"/>
      <c r="CC62" s="120"/>
      <c r="CD62" s="120"/>
      <c r="CE62" s="120"/>
      <c r="CF62" s="120"/>
      <c r="CG62" s="80"/>
      <c r="CH62" s="117"/>
      <c r="CI62" s="80"/>
      <c r="CJ62" s="80"/>
      <c r="CK62" s="80"/>
      <c r="CL62" s="80"/>
      <c r="CM62" s="80"/>
      <c r="CN62" s="80"/>
      <c r="CO62" s="80"/>
      <c r="CP62" s="80"/>
      <c r="CQ62" s="80"/>
      <c r="CR62" s="120"/>
      <c r="CS62" s="80"/>
      <c r="CT62" s="80"/>
      <c r="CU62" s="80"/>
      <c r="CV62" s="86"/>
      <c r="CW62" s="117"/>
      <c r="CX62" s="117"/>
      <c r="CY62" s="80"/>
      <c r="CZ62" s="80"/>
      <c r="DA62" s="80"/>
      <c r="DB62" s="80"/>
      <c r="DC62" s="120"/>
      <c r="DD62" s="120"/>
      <c r="DE62" s="80"/>
      <c r="DF62" s="80"/>
      <c r="DG62" s="80"/>
      <c r="DH62" s="120"/>
      <c r="DI62" s="80"/>
      <c r="DJ62" s="80"/>
      <c r="DK62" s="80"/>
      <c r="DL62" s="80"/>
      <c r="DM62" s="80"/>
      <c r="DN62" s="117"/>
      <c r="DO62" s="80"/>
      <c r="DP62" s="117"/>
      <c r="DQ62" s="117"/>
      <c r="DR62" s="80"/>
      <c r="DS62" s="120"/>
      <c r="DT62" s="120"/>
      <c r="DU62" s="80"/>
      <c r="DV62" s="86"/>
      <c r="DW62" s="80"/>
      <c r="DX62" s="120"/>
      <c r="DY62" s="80"/>
      <c r="DZ62" s="80"/>
      <c r="EA62" s="80"/>
      <c r="EB62" s="122"/>
      <c r="EC62" s="88">
        <f>21.6-0.72</f>
        <v>20.880000000000003</v>
      </c>
      <c r="ED62" s="88"/>
      <c r="EE62" s="65"/>
      <c r="EF62" s="65"/>
      <c r="EG62" s="88"/>
      <c r="EH62" s="88">
        <f>O62</f>
        <v>4292.3</v>
      </c>
      <c r="EI62" s="88"/>
      <c r="EJ62" s="66"/>
      <c r="EK62" s="66"/>
      <c r="EL62" s="66">
        <f>O62-EJ62+EI62</f>
        <v>4292.3</v>
      </c>
      <c r="EM62" s="66"/>
      <c r="EN62" s="67">
        <f t="shared" si="15"/>
        <v>89623.224000000017</v>
      </c>
      <c r="EO62" s="67"/>
      <c r="EP62" s="68">
        <f t="shared" si="10"/>
        <v>0</v>
      </c>
      <c r="EQ62" s="68"/>
      <c r="ER62" s="69">
        <f>M62*EE62</f>
        <v>0</v>
      </c>
      <c r="ES62" s="89">
        <v>16700.68</v>
      </c>
      <c r="ET62" s="71">
        <f t="shared" si="18"/>
        <v>-16700.68</v>
      </c>
      <c r="EU62" s="71">
        <f t="shared" si="16"/>
        <v>-3787.0022675736959</v>
      </c>
    </row>
    <row r="63" spans="1:151">
      <c r="A63" s="47">
        <v>53</v>
      </c>
      <c r="B63" s="130" t="s">
        <v>179</v>
      </c>
      <c r="C63" s="130">
        <v>26</v>
      </c>
      <c r="D63" s="74" t="s">
        <v>149</v>
      </c>
      <c r="E63" s="57" t="s">
        <v>150</v>
      </c>
      <c r="F63" s="57">
        <v>1978</v>
      </c>
      <c r="G63" s="57">
        <v>5</v>
      </c>
      <c r="H63" s="57">
        <v>6</v>
      </c>
      <c r="I63" s="75">
        <v>90</v>
      </c>
      <c r="J63" s="75">
        <v>220</v>
      </c>
      <c r="K63" s="75">
        <v>92</v>
      </c>
      <c r="L63" s="133">
        <f>'[1]Победы 26'!H98+'[1]Победы 26'!I98</f>
        <v>212</v>
      </c>
      <c r="M63" s="116">
        <f>'[1]Победы 26'!E101</f>
        <v>4095.9999999999995</v>
      </c>
      <c r="N63" s="57">
        <f>'[1]Победы 26'!E102</f>
        <v>283.5</v>
      </c>
      <c r="O63" s="54">
        <f t="shared" si="12"/>
        <v>4379.5</v>
      </c>
      <c r="P63" s="57"/>
      <c r="Q63" s="57"/>
      <c r="R63" s="77">
        <f>'[1]Победы 26'!F101</f>
        <v>2808.3999999999996</v>
      </c>
      <c r="S63" s="77">
        <f>'[1]Победы 26'!F102</f>
        <v>189.6</v>
      </c>
      <c r="T63" s="57">
        <f t="shared" si="13"/>
        <v>2997.9999999999995</v>
      </c>
      <c r="U63" s="57"/>
      <c r="V63" s="57"/>
      <c r="W63" s="78">
        <f t="shared" si="0"/>
        <v>4379.5</v>
      </c>
      <c r="X63" s="76">
        <f t="shared" si="1"/>
        <v>2997.9999999999995</v>
      </c>
      <c r="Y63" s="76">
        <f t="shared" si="27"/>
        <v>4379.5</v>
      </c>
      <c r="Z63" s="76">
        <f t="shared" si="27"/>
        <v>2997.9999999999995</v>
      </c>
      <c r="AA63" s="57"/>
      <c r="AB63" s="57"/>
      <c r="AC63" s="76"/>
      <c r="AD63" s="57"/>
      <c r="AE63" s="57"/>
      <c r="AF63" s="57"/>
      <c r="AG63" s="57"/>
      <c r="AH63" s="57"/>
      <c r="AI63" s="57"/>
      <c r="AJ63" s="57"/>
      <c r="AK63" s="57">
        <f t="shared" si="28"/>
        <v>4379.5</v>
      </c>
      <c r="AL63" s="57">
        <f t="shared" si="28"/>
        <v>2997.9999999999995</v>
      </c>
      <c r="AM63" s="57"/>
      <c r="AN63" s="57"/>
      <c r="AO63" s="57">
        <v>4383.6000000000004</v>
      </c>
      <c r="AP63" s="57">
        <v>3003.2</v>
      </c>
      <c r="AQ63" s="79"/>
      <c r="AR63" s="79"/>
      <c r="AS63" s="57">
        <v>3704.4</v>
      </c>
      <c r="AT63" s="57">
        <v>2535.6999999999998</v>
      </c>
      <c r="AU63" s="57"/>
      <c r="AV63" s="57"/>
      <c r="AW63" s="57"/>
      <c r="AX63" s="57"/>
      <c r="AY63" s="57">
        <v>78</v>
      </c>
      <c r="AZ63" s="57">
        <v>19053000</v>
      </c>
      <c r="BA63" s="57">
        <v>0</v>
      </c>
      <c r="BB63" s="57"/>
      <c r="BC63" s="57"/>
      <c r="BD63" s="57"/>
      <c r="BE63" s="57"/>
      <c r="BF63" s="57"/>
      <c r="BG63" s="57">
        <v>465.6</v>
      </c>
      <c r="BH63" s="57"/>
      <c r="BI63" s="57"/>
      <c r="BJ63" s="57"/>
      <c r="BK63" s="57"/>
      <c r="BL63" s="57"/>
      <c r="BM63" s="57"/>
      <c r="BN63" s="57"/>
      <c r="BO63" s="57"/>
      <c r="BP63" s="81">
        <f t="shared" si="6"/>
        <v>1057.1589999999999</v>
      </c>
      <c r="BQ63" s="57"/>
      <c r="BR63" s="82"/>
      <c r="BS63" s="83">
        <f>BP63</f>
        <v>1057.1589999999999</v>
      </c>
      <c r="BT63" s="81">
        <v>879.5</v>
      </c>
      <c r="BU63" s="81">
        <v>879.5</v>
      </c>
      <c r="BV63" s="81">
        <v>3808.65</v>
      </c>
      <c r="BW63" s="81"/>
      <c r="BX63" s="81"/>
      <c r="BY63" s="82"/>
      <c r="BZ63" s="57"/>
      <c r="CA63" s="57"/>
      <c r="CB63" s="57"/>
      <c r="CC63" s="82"/>
      <c r="CD63" s="82"/>
      <c r="CE63" s="82"/>
      <c r="CF63" s="82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84"/>
      <c r="CW63" s="84"/>
      <c r="CX63" s="57"/>
      <c r="CY63" s="57"/>
      <c r="CZ63" s="57"/>
      <c r="DA63" s="57"/>
      <c r="DB63" s="57"/>
      <c r="DC63" s="57"/>
      <c r="DD63" s="57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129"/>
      <c r="EC63" s="88">
        <f>22.45-0.72</f>
        <v>21.73</v>
      </c>
      <c r="ED63" s="88"/>
      <c r="EE63" s="65"/>
      <c r="EF63" s="65"/>
      <c r="EG63" s="88"/>
      <c r="EH63" s="88">
        <v>4319.2</v>
      </c>
      <c r="EI63" s="88">
        <v>44.8</v>
      </c>
      <c r="EJ63" s="66">
        <v>60.8</v>
      </c>
      <c r="EK63" s="66"/>
      <c r="EL63" s="66">
        <f>O63-EJ63+EI63</f>
        <v>4363.5</v>
      </c>
      <c r="EM63" s="66"/>
      <c r="EN63" s="67">
        <f t="shared" si="15"/>
        <v>93856.216</v>
      </c>
      <c r="EO63" s="67"/>
      <c r="EP63" s="68">
        <f t="shared" si="10"/>
        <v>0</v>
      </c>
      <c r="EQ63" s="68">
        <f>EF63*EI63</f>
        <v>0</v>
      </c>
      <c r="ER63" s="69">
        <f>(M63-EJ63) *4.41</f>
        <v>17795.231999999996</v>
      </c>
      <c r="ES63" s="88">
        <v>16649.939999999999</v>
      </c>
      <c r="ET63" s="71">
        <f t="shared" si="18"/>
        <v>1145.2919999999976</v>
      </c>
      <c r="EU63" s="71">
        <f t="shared" si="16"/>
        <v>259.70340136054369</v>
      </c>
    </row>
    <row r="64" spans="1:151">
      <c r="A64" s="47">
        <v>54</v>
      </c>
      <c r="B64" s="130" t="s">
        <v>179</v>
      </c>
      <c r="C64" s="130">
        <v>48</v>
      </c>
      <c r="D64" s="74" t="s">
        <v>155</v>
      </c>
      <c r="E64" s="116" t="s">
        <v>150</v>
      </c>
      <c r="F64" s="57">
        <v>1958</v>
      </c>
      <c r="G64" s="57">
        <v>4</v>
      </c>
      <c r="H64" s="57">
        <v>2</v>
      </c>
      <c r="I64" s="75">
        <v>18</v>
      </c>
      <c r="J64" s="75">
        <v>42</v>
      </c>
      <c r="K64" s="75">
        <v>18</v>
      </c>
      <c r="L64" s="133">
        <f>'[1]Победы 48'!H28</f>
        <v>43</v>
      </c>
      <c r="M64" s="116">
        <f>'[1]Победы 48'!E31</f>
        <v>831.80000000000007</v>
      </c>
      <c r="N64" s="57">
        <f>'[1]Победы 48'!E32</f>
        <v>171.1</v>
      </c>
      <c r="O64" s="131">
        <f t="shared" si="12"/>
        <v>1002.9000000000001</v>
      </c>
      <c r="P64" s="57"/>
      <c r="Q64" s="57"/>
      <c r="R64" s="77">
        <f>'[1]Победы 48'!F31</f>
        <v>528.19999999999993</v>
      </c>
      <c r="S64" s="77">
        <f>'[1]Победы 48'!F32</f>
        <v>110</v>
      </c>
      <c r="T64" s="57">
        <f t="shared" si="13"/>
        <v>638.19999999999993</v>
      </c>
      <c r="U64" s="57"/>
      <c r="V64" s="57"/>
      <c r="W64" s="78">
        <f t="shared" si="0"/>
        <v>1002.9000000000001</v>
      </c>
      <c r="X64" s="76">
        <f t="shared" si="1"/>
        <v>638.19999999999993</v>
      </c>
      <c r="Y64" s="76">
        <f t="shared" si="27"/>
        <v>1002.9000000000001</v>
      </c>
      <c r="Z64" s="76">
        <f t="shared" si="27"/>
        <v>638.19999999999993</v>
      </c>
      <c r="AA64" s="57"/>
      <c r="AB64" s="57"/>
      <c r="AC64" s="76">
        <f t="shared" si="24"/>
        <v>1002.9000000000001</v>
      </c>
      <c r="AD64" s="57">
        <f t="shared" si="24"/>
        <v>638.19999999999993</v>
      </c>
      <c r="AE64" s="57"/>
      <c r="AF64" s="57"/>
      <c r="AG64" s="57"/>
      <c r="AH64" s="57"/>
      <c r="AI64" s="57"/>
      <c r="AJ64" s="57"/>
      <c r="AK64" s="57">
        <f t="shared" si="28"/>
        <v>1002.9000000000001</v>
      </c>
      <c r="AL64" s="57">
        <f t="shared" si="28"/>
        <v>638.19999999999993</v>
      </c>
      <c r="AM64" s="57"/>
      <c r="AN64" s="57"/>
      <c r="AO64" s="57"/>
      <c r="AP64" s="57"/>
      <c r="AQ64" s="79"/>
      <c r="AR64" s="79"/>
      <c r="AS64" s="57"/>
      <c r="AT64" s="57"/>
      <c r="AU64" s="57"/>
      <c r="AV64" s="57"/>
      <c r="AW64" s="57"/>
      <c r="AX64" s="57"/>
      <c r="AY64" s="57"/>
      <c r="AZ64" s="57">
        <v>5639000</v>
      </c>
      <c r="BA64" s="57">
        <v>94.5</v>
      </c>
      <c r="BB64" s="57">
        <v>230.9</v>
      </c>
      <c r="BC64" s="57"/>
      <c r="BD64" s="57"/>
      <c r="BE64" s="57"/>
      <c r="BF64" s="57"/>
      <c r="BG64" s="57">
        <v>142.30000000000001</v>
      </c>
      <c r="BH64" s="57"/>
      <c r="BI64" s="57"/>
      <c r="BJ64" s="57"/>
      <c r="BK64" s="57"/>
      <c r="BL64" s="57"/>
      <c r="BM64" s="57"/>
      <c r="BN64" s="57"/>
      <c r="BO64" s="57"/>
      <c r="BP64" s="81">
        <v>546.19000000000005</v>
      </c>
      <c r="BQ64" s="57"/>
      <c r="BR64" s="82"/>
      <c r="BS64" s="83"/>
      <c r="BT64" s="81">
        <v>212.4</v>
      </c>
      <c r="BU64" s="81">
        <v>212.4</v>
      </c>
      <c r="BV64" s="81">
        <v>532.20000000000005</v>
      </c>
      <c r="BW64" s="81"/>
      <c r="BX64" s="81"/>
      <c r="BY64" s="82"/>
      <c r="BZ64" s="57"/>
      <c r="CA64" s="57"/>
      <c r="CB64" s="57"/>
      <c r="CC64" s="82"/>
      <c r="CD64" s="82"/>
      <c r="CE64" s="82"/>
      <c r="CF64" s="82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84"/>
      <c r="CW64" s="84"/>
      <c r="CX64" s="57"/>
      <c r="CY64" s="57"/>
      <c r="CZ64" s="57"/>
      <c r="DA64" s="57"/>
      <c r="DB64" s="57"/>
      <c r="DC64" s="57"/>
      <c r="DD64" s="57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129"/>
      <c r="EC64" s="88">
        <f>21.6-0.72</f>
        <v>20.880000000000003</v>
      </c>
      <c r="ED64" s="88"/>
      <c r="EE64" s="65"/>
      <c r="EF64" s="65"/>
      <c r="EG64" s="88"/>
      <c r="EH64" s="88">
        <f>O64</f>
        <v>1002.9000000000001</v>
      </c>
      <c r="EI64" s="88"/>
      <c r="EJ64" s="66"/>
      <c r="EK64" s="66"/>
      <c r="EL64" s="66">
        <v>1002.7</v>
      </c>
      <c r="EM64" s="66"/>
      <c r="EN64" s="67">
        <f t="shared" si="15"/>
        <v>20940.552000000003</v>
      </c>
      <c r="EO64" s="67"/>
      <c r="EP64" s="68">
        <f t="shared" si="10"/>
        <v>0</v>
      </c>
      <c r="EQ64" s="68"/>
      <c r="ER64" s="69">
        <f>M64*EE64</f>
        <v>0</v>
      </c>
      <c r="ES64" s="88">
        <v>3743.1</v>
      </c>
      <c r="ET64" s="71">
        <f t="shared" si="18"/>
        <v>-3743.1</v>
      </c>
      <c r="EU64" s="71">
        <f t="shared" si="16"/>
        <v>-848.77551020408157</v>
      </c>
    </row>
    <row r="65" spans="1:151">
      <c r="A65" s="47">
        <v>55</v>
      </c>
      <c r="B65" s="130" t="s">
        <v>179</v>
      </c>
      <c r="C65" s="130">
        <v>50</v>
      </c>
      <c r="D65" s="74" t="s">
        <v>155</v>
      </c>
      <c r="E65" s="116" t="s">
        <v>150</v>
      </c>
      <c r="F65" s="57">
        <v>1959</v>
      </c>
      <c r="G65" s="57">
        <v>4</v>
      </c>
      <c r="H65" s="57">
        <v>2</v>
      </c>
      <c r="I65" s="75">
        <v>22</v>
      </c>
      <c r="J65" s="75">
        <v>42</v>
      </c>
      <c r="K65" s="75">
        <v>18</v>
      </c>
      <c r="L65" s="133">
        <f>'[1]Победы 50'!H23+'[1]Победы 50'!I23</f>
        <v>40</v>
      </c>
      <c r="M65" s="116">
        <f>'[1]Победы 50'!E26</f>
        <v>663</v>
      </c>
      <c r="N65" s="57">
        <f>'[1]Победы 50'!E27</f>
        <v>331.1</v>
      </c>
      <c r="O65" s="131">
        <f t="shared" si="12"/>
        <v>994.1</v>
      </c>
      <c r="P65" s="57"/>
      <c r="Q65" s="57"/>
      <c r="R65" s="77">
        <f>'[1]Победы 50'!F26</f>
        <v>422.6</v>
      </c>
      <c r="S65" s="77">
        <f>'[1]Победы 50'!F27</f>
        <v>212.39999999999998</v>
      </c>
      <c r="T65" s="57">
        <f t="shared" si="13"/>
        <v>635</v>
      </c>
      <c r="U65" s="57"/>
      <c r="V65" s="57"/>
      <c r="W65" s="195">
        <f t="shared" si="0"/>
        <v>994.1</v>
      </c>
      <c r="X65" s="57">
        <f t="shared" si="1"/>
        <v>635</v>
      </c>
      <c r="Y65" s="57">
        <f t="shared" si="27"/>
        <v>994.1</v>
      </c>
      <c r="Z65" s="57">
        <f t="shared" si="27"/>
        <v>635</v>
      </c>
      <c r="AA65" s="57"/>
      <c r="AB65" s="57"/>
      <c r="AC65" s="57">
        <f t="shared" ref="AC65:AD73" si="32">Y65</f>
        <v>994.1</v>
      </c>
      <c r="AD65" s="57">
        <f t="shared" si="32"/>
        <v>635</v>
      </c>
      <c r="AE65" s="57"/>
      <c r="AF65" s="57"/>
      <c r="AG65" s="57"/>
      <c r="AH65" s="57"/>
      <c r="AI65" s="57"/>
      <c r="AJ65" s="57"/>
      <c r="AK65" s="57">
        <f t="shared" si="28"/>
        <v>994.1</v>
      </c>
      <c r="AL65" s="57">
        <f t="shared" si="28"/>
        <v>635</v>
      </c>
      <c r="AM65" s="57"/>
      <c r="AN65" s="57"/>
      <c r="AO65" s="57"/>
      <c r="AP65" s="57"/>
      <c r="AQ65" s="79">
        <f t="shared" ref="AQ65:AR72" si="33">Y65</f>
        <v>994.1</v>
      </c>
      <c r="AR65" s="79">
        <f t="shared" si="33"/>
        <v>635</v>
      </c>
      <c r="AS65" s="57">
        <v>553.79999999999995</v>
      </c>
      <c r="AT65" s="57">
        <v>362.5</v>
      </c>
      <c r="AU65" s="57"/>
      <c r="AV65" s="57"/>
      <c r="AW65" s="57"/>
      <c r="AX65" s="57"/>
      <c r="AY65" s="57">
        <v>9</v>
      </c>
      <c r="AZ65" s="57">
        <v>4276627</v>
      </c>
      <c r="BA65" s="57">
        <v>168</v>
      </c>
      <c r="BB65" s="57">
        <v>163.30000000000001</v>
      </c>
      <c r="BC65" s="57"/>
      <c r="BD65" s="57"/>
      <c r="BE65" s="57"/>
      <c r="BF65" s="57"/>
      <c r="BG65" s="57">
        <v>125</v>
      </c>
      <c r="BH65" s="57"/>
      <c r="BI65" s="57"/>
      <c r="BJ65" s="57"/>
      <c r="BK65" s="80"/>
      <c r="BL65" s="57"/>
      <c r="BM65" s="57"/>
      <c r="BN65" s="57"/>
      <c r="BO65" s="57"/>
      <c r="BP65" s="81">
        <f t="shared" si="6"/>
        <v>253.86239999999998</v>
      </c>
      <c r="BQ65" s="57"/>
      <c r="BR65" s="82"/>
      <c r="BS65" s="83"/>
      <c r="BT65" s="83">
        <v>211.2</v>
      </c>
      <c r="BU65" s="57">
        <v>211.2</v>
      </c>
      <c r="BV65" s="57">
        <v>1432.5</v>
      </c>
      <c r="BW65" s="57"/>
      <c r="BX65" s="57"/>
      <c r="BY65" s="82"/>
      <c r="BZ65" s="84"/>
      <c r="CA65" s="84"/>
      <c r="CB65" s="84"/>
      <c r="CC65" s="85"/>
      <c r="CD65" s="85"/>
      <c r="CE65" s="85"/>
      <c r="CF65" s="85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6"/>
      <c r="CW65" s="86"/>
      <c r="CX65" s="80"/>
      <c r="CY65" s="80"/>
      <c r="CZ65" s="80"/>
      <c r="DA65" s="80"/>
      <c r="DB65" s="80"/>
      <c r="DC65" s="80"/>
      <c r="DD65" s="80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7"/>
      <c r="EC65" s="88">
        <f>21.6-0.72</f>
        <v>20.880000000000003</v>
      </c>
      <c r="ED65" s="88"/>
      <c r="EE65" s="65"/>
      <c r="EF65" s="65"/>
      <c r="EG65" s="88"/>
      <c r="EH65" s="88">
        <v>994.1</v>
      </c>
      <c r="EI65" s="88"/>
      <c r="EJ65" s="66"/>
      <c r="EK65" s="66"/>
      <c r="EL65" s="66">
        <f>O65-EJ65+EI65</f>
        <v>994.1</v>
      </c>
      <c r="EM65" s="66"/>
      <c r="EN65" s="67">
        <f t="shared" si="15"/>
        <v>20756.808000000005</v>
      </c>
      <c r="EO65" s="67"/>
      <c r="EP65" s="68">
        <f t="shared" si="10"/>
        <v>0</v>
      </c>
      <c r="EQ65" s="68"/>
      <c r="ER65" s="69">
        <f>M65*EE65</f>
        <v>0</v>
      </c>
      <c r="ES65" s="88">
        <v>2923.84</v>
      </c>
      <c r="ET65" s="71">
        <f t="shared" si="18"/>
        <v>-2923.84</v>
      </c>
      <c r="EU65" s="71">
        <f t="shared" si="16"/>
        <v>-663.00226757369614</v>
      </c>
    </row>
    <row r="66" spans="1:151">
      <c r="A66" s="47">
        <v>56</v>
      </c>
      <c r="B66" s="73" t="s">
        <v>179</v>
      </c>
      <c r="C66" s="73" t="s">
        <v>163</v>
      </c>
      <c r="D66" s="74" t="s">
        <v>155</v>
      </c>
      <c r="E66" s="116" t="s">
        <v>150</v>
      </c>
      <c r="F66" s="57">
        <v>1986</v>
      </c>
      <c r="G66" s="57">
        <v>5</v>
      </c>
      <c r="H66" s="57">
        <v>2</v>
      </c>
      <c r="I66" s="75">
        <v>60</v>
      </c>
      <c r="J66" s="75">
        <v>78</v>
      </c>
      <c r="K66" s="75">
        <v>60</v>
      </c>
      <c r="L66" s="133">
        <f>'[1]Победы 12А'!H65+'[1]Победы 12А'!I65</f>
        <v>91</v>
      </c>
      <c r="M66" s="57">
        <f>'[1]Победы 12А'!E68</f>
        <v>1694.2999999999995</v>
      </c>
      <c r="N66" s="57">
        <f>'[1]Победы 12А'!E69</f>
        <v>101.69999999999999</v>
      </c>
      <c r="O66" s="54">
        <f t="shared" si="12"/>
        <v>1795.9999999999995</v>
      </c>
      <c r="P66" s="76"/>
      <c r="Q66" s="76"/>
      <c r="R66" s="77">
        <f>'[1]Победы 12А'!F68</f>
        <v>947.70000000000016</v>
      </c>
      <c r="S66" s="77">
        <f>'[1]Победы 12А'!F69</f>
        <v>54.4</v>
      </c>
      <c r="T66" s="57">
        <f t="shared" si="13"/>
        <v>1002.1000000000001</v>
      </c>
      <c r="U66" s="57"/>
      <c r="V66" s="57"/>
      <c r="W66" s="78">
        <f t="shared" si="0"/>
        <v>1795.9999999999995</v>
      </c>
      <c r="X66" s="76">
        <f t="shared" si="1"/>
        <v>1002.1000000000001</v>
      </c>
      <c r="Y66" s="76">
        <f t="shared" si="27"/>
        <v>1795.9999999999995</v>
      </c>
      <c r="Z66" s="76">
        <f t="shared" si="27"/>
        <v>1002.1000000000001</v>
      </c>
      <c r="AA66" s="76"/>
      <c r="AB66" s="76"/>
      <c r="AC66" s="76">
        <f t="shared" si="32"/>
        <v>1795.9999999999995</v>
      </c>
      <c r="AD66" s="57">
        <f t="shared" si="32"/>
        <v>1002.1000000000001</v>
      </c>
      <c r="AE66" s="57"/>
      <c r="AF66" s="57"/>
      <c r="AG66" s="57"/>
      <c r="AH66" s="57"/>
      <c r="AI66" s="57"/>
      <c r="AJ66" s="57"/>
      <c r="AK66" s="57">
        <f t="shared" si="28"/>
        <v>1795.9999999999995</v>
      </c>
      <c r="AL66" s="57">
        <f t="shared" si="28"/>
        <v>1002.1000000000001</v>
      </c>
      <c r="AM66" s="57"/>
      <c r="AN66" s="57"/>
      <c r="AO66" s="57"/>
      <c r="AP66" s="57"/>
      <c r="AQ66" s="79">
        <f t="shared" si="33"/>
        <v>1795.9999999999995</v>
      </c>
      <c r="AR66" s="79">
        <f t="shared" si="33"/>
        <v>1002.1000000000001</v>
      </c>
      <c r="AS66" s="57">
        <v>1679.1</v>
      </c>
      <c r="AT66" s="57">
        <v>935.2</v>
      </c>
      <c r="AU66" s="57"/>
      <c r="AV66" s="57"/>
      <c r="AW66" s="57"/>
      <c r="AX66" s="57"/>
      <c r="AY66" s="57">
        <v>56</v>
      </c>
      <c r="AZ66" s="57">
        <v>13079241</v>
      </c>
      <c r="BA66" s="57"/>
      <c r="BB66" s="57"/>
      <c r="BC66" s="57"/>
      <c r="BD66" s="57"/>
      <c r="BE66" s="57"/>
      <c r="BF66" s="57"/>
      <c r="BG66" s="57">
        <v>252.8</v>
      </c>
      <c r="BH66" s="57"/>
      <c r="BI66" s="57"/>
      <c r="BJ66" s="57"/>
      <c r="BK66" s="80"/>
      <c r="BL66" s="57"/>
      <c r="BM66" s="57"/>
      <c r="BN66" s="57"/>
      <c r="BO66" s="57"/>
      <c r="BP66" s="81">
        <f t="shared" si="6"/>
        <v>483.08379999999994</v>
      </c>
      <c r="BQ66" s="57"/>
      <c r="BR66" s="82"/>
      <c r="BS66" s="83"/>
      <c r="BT66" s="83">
        <v>401.9</v>
      </c>
      <c r="BU66" s="57">
        <v>401.9</v>
      </c>
      <c r="BV66" s="57">
        <v>3806.6</v>
      </c>
      <c r="BW66" s="57"/>
      <c r="BX66" s="57"/>
      <c r="BY66" s="82"/>
      <c r="BZ66" s="84"/>
      <c r="CA66" s="84"/>
      <c r="CB66" s="84"/>
      <c r="CC66" s="85"/>
      <c r="CD66" s="85"/>
      <c r="CE66" s="85"/>
      <c r="CF66" s="85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6"/>
      <c r="CW66" s="86"/>
      <c r="CX66" s="80"/>
      <c r="CY66" s="80"/>
      <c r="CZ66" s="80"/>
      <c r="DA66" s="80"/>
      <c r="DB66" s="80"/>
      <c r="DC66" s="80"/>
      <c r="DD66" s="80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7"/>
      <c r="EC66" s="88">
        <f>22.45-0.72</f>
        <v>21.73</v>
      </c>
      <c r="ED66" s="88"/>
      <c r="EE66" s="65"/>
      <c r="EF66" s="65"/>
      <c r="EG66" s="88"/>
      <c r="EH66" s="88">
        <f>O66</f>
        <v>1795.9999999999995</v>
      </c>
      <c r="EI66" s="88"/>
      <c r="EJ66" s="66"/>
      <c r="EK66" s="66"/>
      <c r="EL66" s="66">
        <f>O66-EJ66+EI66</f>
        <v>1795.9999999999995</v>
      </c>
      <c r="EM66" s="66"/>
      <c r="EN66" s="67">
        <f t="shared" si="15"/>
        <v>39027.079999999994</v>
      </c>
      <c r="EO66" s="67"/>
      <c r="EP66" s="68">
        <f t="shared" si="10"/>
        <v>0</v>
      </c>
      <c r="EQ66" s="68"/>
      <c r="ER66" s="69">
        <f>M66*EE66</f>
        <v>0</v>
      </c>
      <c r="ES66" s="89">
        <v>7366.03</v>
      </c>
      <c r="ET66" s="71">
        <f t="shared" si="18"/>
        <v>-7366.03</v>
      </c>
      <c r="EU66" s="71">
        <f t="shared" si="16"/>
        <v>-1670.3015873015872</v>
      </c>
    </row>
    <row r="67" spans="1:151">
      <c r="A67" s="47">
        <v>57</v>
      </c>
      <c r="B67" s="136" t="s">
        <v>186</v>
      </c>
      <c r="C67" s="136">
        <v>14</v>
      </c>
      <c r="D67" s="137" t="s">
        <v>149</v>
      </c>
      <c r="E67" s="138" t="s">
        <v>150</v>
      </c>
      <c r="F67" s="140">
        <v>1970</v>
      </c>
      <c r="G67" s="140">
        <v>5</v>
      </c>
      <c r="H67" s="140">
        <v>4</v>
      </c>
      <c r="I67" s="162">
        <v>59</v>
      </c>
      <c r="J67" s="162">
        <v>118</v>
      </c>
      <c r="K67" s="162">
        <v>59</v>
      </c>
      <c r="L67" s="53">
        <f>[1]Поп.14!H65+[1]Поп.14!I65</f>
        <v>117</v>
      </c>
      <c r="M67" s="140">
        <f>[1]Поп.14!E68</f>
        <v>2644.099999999999</v>
      </c>
      <c r="N67" s="140">
        <f>[1]Поп.14!E69</f>
        <v>47.3</v>
      </c>
      <c r="O67" s="143">
        <f t="shared" si="12"/>
        <v>2691.3999999999992</v>
      </c>
      <c r="P67" s="140"/>
      <c r="Q67" s="140"/>
      <c r="R67" s="144">
        <f>[1]Поп.14!F68</f>
        <v>1785.6000000000004</v>
      </c>
      <c r="S67" s="144">
        <f>[1]Поп.14!F69</f>
        <v>32.4</v>
      </c>
      <c r="T67" s="140">
        <f t="shared" si="13"/>
        <v>1818.0000000000005</v>
      </c>
      <c r="U67" s="140"/>
      <c r="V67" s="140">
        <v>29.6</v>
      </c>
      <c r="W67" s="145">
        <f t="shared" si="0"/>
        <v>2691.3999999999992</v>
      </c>
      <c r="X67" s="140">
        <f t="shared" si="1"/>
        <v>1847.6000000000004</v>
      </c>
      <c r="Y67" s="140">
        <f t="shared" si="27"/>
        <v>2691.3999999999992</v>
      </c>
      <c r="Z67" s="140">
        <f t="shared" si="27"/>
        <v>1847.6000000000004</v>
      </c>
      <c r="AA67" s="140"/>
      <c r="AB67" s="140"/>
      <c r="AC67" s="140">
        <f t="shared" si="32"/>
        <v>2691.3999999999992</v>
      </c>
      <c r="AD67" s="140">
        <f t="shared" si="32"/>
        <v>1847.6000000000004</v>
      </c>
      <c r="AE67" s="140"/>
      <c r="AF67" s="140"/>
      <c r="AG67" s="140"/>
      <c r="AH67" s="140"/>
      <c r="AI67" s="140"/>
      <c r="AJ67" s="140"/>
      <c r="AK67" s="140">
        <f t="shared" si="28"/>
        <v>2691.3999999999992</v>
      </c>
      <c r="AL67" s="140">
        <f t="shared" si="28"/>
        <v>1847.6000000000004</v>
      </c>
      <c r="AM67" s="140"/>
      <c r="AN67" s="140"/>
      <c r="AO67" s="140"/>
      <c r="AP67" s="140"/>
      <c r="AQ67" s="146">
        <f t="shared" si="33"/>
        <v>2691.3999999999992</v>
      </c>
      <c r="AR67" s="146">
        <f t="shared" si="33"/>
        <v>1847.6000000000004</v>
      </c>
      <c r="AS67" s="140">
        <v>60.4</v>
      </c>
      <c r="AT67" s="140">
        <v>44.5</v>
      </c>
      <c r="AU67" s="140"/>
      <c r="AV67" s="140"/>
      <c r="AW67" s="140"/>
      <c r="AX67" s="140"/>
      <c r="AY67" s="140">
        <v>1</v>
      </c>
      <c r="AZ67" s="140">
        <v>10734668</v>
      </c>
      <c r="BA67" s="140"/>
      <c r="BB67" s="140"/>
      <c r="BC67" s="140"/>
      <c r="BD67" s="140"/>
      <c r="BE67" s="140"/>
      <c r="BF67" s="140"/>
      <c r="BG67" s="140">
        <v>286</v>
      </c>
      <c r="BH67" s="140"/>
      <c r="BI67" s="140"/>
      <c r="BJ67" s="140"/>
      <c r="BK67" s="140"/>
      <c r="BL67" s="140"/>
      <c r="BM67" s="140"/>
      <c r="BN67" s="140"/>
      <c r="BO67" s="140"/>
      <c r="BP67" s="147">
        <f t="shared" si="6"/>
        <v>648.95979999999997</v>
      </c>
      <c r="BQ67" s="140"/>
      <c r="BR67" s="164"/>
      <c r="BS67" s="149">
        <f>BP67</f>
        <v>648.95979999999997</v>
      </c>
      <c r="BT67" s="149">
        <v>539.9</v>
      </c>
      <c r="BU67" s="140">
        <v>539.9</v>
      </c>
      <c r="BV67" s="140">
        <v>2927.6</v>
      </c>
      <c r="BW67" s="140"/>
      <c r="BX67" s="140"/>
      <c r="BY67" s="164"/>
      <c r="BZ67" s="140"/>
      <c r="CA67" s="140"/>
      <c r="CB67" s="140"/>
      <c r="CC67" s="164"/>
      <c r="CD67" s="164"/>
      <c r="CE67" s="164"/>
      <c r="CF67" s="164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66"/>
      <c r="CW67" s="166"/>
      <c r="CX67" s="140"/>
      <c r="CY67" s="140"/>
      <c r="CZ67" s="140"/>
      <c r="DA67" s="140"/>
      <c r="DB67" s="140"/>
      <c r="DC67" s="140"/>
      <c r="DD67" s="140"/>
      <c r="DE67" s="166"/>
      <c r="DF67" s="166"/>
      <c r="DG67" s="166"/>
      <c r="DH67" s="166"/>
      <c r="DI67" s="166"/>
      <c r="DJ67" s="166"/>
      <c r="DK67" s="166"/>
      <c r="DL67" s="166"/>
      <c r="DM67" s="166"/>
      <c r="DN67" s="166"/>
      <c r="DO67" s="166"/>
      <c r="DP67" s="166"/>
      <c r="DQ67" s="166"/>
      <c r="DR67" s="166"/>
      <c r="DS67" s="166"/>
      <c r="DT67" s="166"/>
      <c r="DU67" s="166"/>
      <c r="DV67" s="166"/>
      <c r="DW67" s="166"/>
      <c r="DX67" s="166"/>
      <c r="DY67" s="166"/>
      <c r="DZ67" s="166"/>
      <c r="EA67" s="166"/>
      <c r="EB67" s="196"/>
      <c r="EC67" s="53">
        <f>21.6-0.72</f>
        <v>20.880000000000003</v>
      </c>
      <c r="ED67" s="53"/>
      <c r="EE67" s="153"/>
      <c r="EF67" s="153"/>
      <c r="EG67" s="53"/>
      <c r="EH67" s="53">
        <f>O67</f>
        <v>2691.3999999999992</v>
      </c>
      <c r="EI67" s="53"/>
      <c r="EJ67" s="154"/>
      <c r="EK67" s="154"/>
      <c r="EL67" s="154">
        <f>O67-EJ67+EI67</f>
        <v>2691.3999999999992</v>
      </c>
      <c r="EM67" s="154"/>
      <c r="EN67" s="155">
        <f t="shared" si="15"/>
        <v>56196.431999999993</v>
      </c>
      <c r="EO67" s="155"/>
      <c r="EP67" s="156">
        <f t="shared" si="10"/>
        <v>0</v>
      </c>
      <c r="EQ67" s="156"/>
      <c r="ER67" s="156">
        <f>M67*EE67</f>
        <v>0</v>
      </c>
      <c r="ES67" s="53">
        <v>10879.06</v>
      </c>
      <c r="ET67" s="157">
        <f t="shared" si="18"/>
        <v>-10879.06</v>
      </c>
      <c r="EU67" s="157">
        <f t="shared" si="16"/>
        <v>-2466.9070294784578</v>
      </c>
    </row>
    <row r="68" spans="1:151">
      <c r="A68" s="47">
        <v>58</v>
      </c>
      <c r="B68" s="136" t="s">
        <v>186</v>
      </c>
      <c r="C68" s="136">
        <v>21</v>
      </c>
      <c r="D68" s="137" t="s">
        <v>187</v>
      </c>
      <c r="E68" s="138" t="s">
        <v>150</v>
      </c>
      <c r="F68" s="140">
        <v>2016</v>
      </c>
      <c r="G68" s="140">
        <v>9</v>
      </c>
      <c r="H68" s="140">
        <v>2</v>
      </c>
      <c r="I68" s="162">
        <v>48</v>
      </c>
      <c r="J68" s="162">
        <v>113</v>
      </c>
      <c r="K68" s="162">
        <v>48</v>
      </c>
      <c r="L68" s="53">
        <f>'[1]Поп. 21'!H55+'[1]Поп. 21'!I55</f>
        <v>99</v>
      </c>
      <c r="M68" s="140">
        <f>'[1]Поп. 21'!E56</f>
        <v>2621.2999999999993</v>
      </c>
      <c r="N68" s="140"/>
      <c r="O68" s="143">
        <f t="shared" si="12"/>
        <v>2621.2999999999993</v>
      </c>
      <c r="P68" s="140"/>
      <c r="Q68" s="140"/>
      <c r="R68" s="144"/>
      <c r="S68" s="144"/>
      <c r="T68" s="140"/>
      <c r="U68" s="140"/>
      <c r="V68" s="140"/>
      <c r="W68" s="145">
        <f t="shared" si="0"/>
        <v>2621.2999999999993</v>
      </c>
      <c r="X68" s="140"/>
      <c r="Y68" s="140">
        <f t="shared" si="27"/>
        <v>2621.2999999999993</v>
      </c>
      <c r="Z68" s="140"/>
      <c r="AA68" s="140"/>
      <c r="AB68" s="140"/>
      <c r="AC68" s="140">
        <f t="shared" si="32"/>
        <v>2621.2999999999993</v>
      </c>
      <c r="AD68" s="140"/>
      <c r="AE68" s="140"/>
      <c r="AF68" s="140"/>
      <c r="AG68" s="140"/>
      <c r="AH68" s="140"/>
      <c r="AI68" s="140"/>
      <c r="AJ68" s="140"/>
      <c r="AK68" s="140">
        <f t="shared" si="28"/>
        <v>2621.2999999999993</v>
      </c>
      <c r="AL68" s="140"/>
      <c r="AM68" s="140"/>
      <c r="AN68" s="140"/>
      <c r="AO68" s="140">
        <v>2621.3000000000002</v>
      </c>
      <c r="AP68" s="140"/>
      <c r="AQ68" s="146"/>
      <c r="AR68" s="146"/>
      <c r="AS68" s="140"/>
      <c r="AT68" s="140"/>
      <c r="AU68" s="140"/>
      <c r="AV68" s="140"/>
      <c r="AW68" s="140"/>
      <c r="AX68" s="140"/>
      <c r="AY68" s="140"/>
      <c r="AZ68" s="140"/>
      <c r="BA68" s="140">
        <v>373.7</v>
      </c>
      <c r="BB68" s="140"/>
      <c r="BC68" s="140"/>
      <c r="BD68" s="140"/>
      <c r="BE68" s="140"/>
      <c r="BF68" s="140"/>
      <c r="BG68" s="140">
        <v>960</v>
      </c>
      <c r="BH68" s="140"/>
      <c r="BI68" s="140"/>
      <c r="BJ68" s="140"/>
      <c r="BK68" s="140"/>
      <c r="BL68" s="140"/>
      <c r="BM68" s="140"/>
      <c r="BN68" s="140"/>
      <c r="BO68" s="140"/>
      <c r="BP68" s="147">
        <f t="shared" si="6"/>
        <v>417.09399999999999</v>
      </c>
      <c r="BQ68" s="140"/>
      <c r="BR68" s="164"/>
      <c r="BS68" s="149">
        <f>BP68</f>
        <v>417.09399999999999</v>
      </c>
      <c r="BT68" s="149">
        <v>347</v>
      </c>
      <c r="BU68" s="140">
        <v>347</v>
      </c>
      <c r="BV68" s="140">
        <v>1826.6</v>
      </c>
      <c r="BW68" s="140"/>
      <c r="BX68" s="140"/>
      <c r="BY68" s="164"/>
      <c r="BZ68" s="140"/>
      <c r="CA68" s="140"/>
      <c r="CB68" s="140"/>
      <c r="CC68" s="164"/>
      <c r="CD68" s="164"/>
      <c r="CE68" s="164"/>
      <c r="CF68" s="164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66"/>
      <c r="CW68" s="166"/>
      <c r="CX68" s="140"/>
      <c r="CY68" s="140"/>
      <c r="CZ68" s="140"/>
      <c r="DA68" s="140"/>
      <c r="DB68" s="140"/>
      <c r="DC68" s="140"/>
      <c r="DD68" s="140"/>
      <c r="DE68" s="166"/>
      <c r="DF68" s="166"/>
      <c r="DG68" s="166"/>
      <c r="DH68" s="166"/>
      <c r="DI68" s="166"/>
      <c r="DJ68" s="166"/>
      <c r="DK68" s="166"/>
      <c r="DL68" s="166"/>
      <c r="DM68" s="166"/>
      <c r="DN68" s="166"/>
      <c r="DO68" s="166"/>
      <c r="DP68" s="166"/>
      <c r="DQ68" s="166"/>
      <c r="DR68" s="166"/>
      <c r="DS68" s="166"/>
      <c r="DT68" s="166"/>
      <c r="DU68" s="166"/>
      <c r="DV68" s="166"/>
      <c r="DW68" s="166"/>
      <c r="DX68" s="166"/>
      <c r="DY68" s="166"/>
      <c r="DZ68" s="166"/>
      <c r="EA68" s="166"/>
      <c r="EB68" s="196"/>
      <c r="EC68" s="53">
        <v>33.450000000000003</v>
      </c>
      <c r="ED68" s="53"/>
      <c r="EE68" s="153"/>
      <c r="EF68" s="153"/>
      <c r="EG68" s="53"/>
      <c r="EH68" s="53"/>
      <c r="EI68" s="53"/>
      <c r="EJ68" s="154"/>
      <c r="EK68" s="154"/>
      <c r="EL68" s="154"/>
      <c r="EM68" s="154"/>
      <c r="EN68" s="155"/>
      <c r="EO68" s="155"/>
      <c r="EP68" s="156"/>
      <c r="EQ68" s="156"/>
      <c r="ER68" s="156"/>
      <c r="ES68" s="53"/>
      <c r="ET68" s="157"/>
      <c r="EU68" s="157"/>
    </row>
    <row r="69" spans="1:151">
      <c r="A69" s="47">
        <v>59</v>
      </c>
      <c r="B69" s="136" t="s">
        <v>186</v>
      </c>
      <c r="C69" s="136">
        <v>25</v>
      </c>
      <c r="D69" s="137" t="s">
        <v>149</v>
      </c>
      <c r="E69" s="138" t="s">
        <v>150</v>
      </c>
      <c r="F69" s="142">
        <v>1975</v>
      </c>
      <c r="G69" s="140">
        <v>5</v>
      </c>
      <c r="H69" s="140">
        <v>8</v>
      </c>
      <c r="I69" s="141">
        <v>112</v>
      </c>
      <c r="J69" s="141">
        <v>237</v>
      </c>
      <c r="K69" s="141">
        <v>113</v>
      </c>
      <c r="L69" s="53">
        <f>[1]Поп.25!H120+[1]Поп.25!I120</f>
        <v>223</v>
      </c>
      <c r="M69" s="142">
        <v>5168.8999999999996</v>
      </c>
      <c r="N69" s="142">
        <v>152.80000000000001</v>
      </c>
      <c r="O69" s="143">
        <f t="shared" si="12"/>
        <v>5321.7</v>
      </c>
      <c r="P69" s="142"/>
      <c r="Q69" s="140"/>
      <c r="R69" s="144">
        <v>3532.2</v>
      </c>
      <c r="S69" s="144">
        <v>106.6</v>
      </c>
      <c r="T69" s="140">
        <f t="shared" si="13"/>
        <v>3638.7999999999997</v>
      </c>
      <c r="U69" s="142"/>
      <c r="V69" s="142">
        <v>32</v>
      </c>
      <c r="W69" s="145">
        <f t="shared" si="0"/>
        <v>5321.7</v>
      </c>
      <c r="X69" s="140">
        <f t="shared" si="1"/>
        <v>3670.7999999999997</v>
      </c>
      <c r="Y69" s="140">
        <f t="shared" si="27"/>
        <v>5321.7</v>
      </c>
      <c r="Z69" s="140">
        <f t="shared" si="27"/>
        <v>3670.7999999999997</v>
      </c>
      <c r="AA69" s="142"/>
      <c r="AB69" s="142"/>
      <c r="AC69" s="140">
        <f t="shared" si="32"/>
        <v>5321.7</v>
      </c>
      <c r="AD69" s="140">
        <f t="shared" si="32"/>
        <v>3670.7999999999997</v>
      </c>
      <c r="AE69" s="142"/>
      <c r="AF69" s="142"/>
      <c r="AG69" s="142"/>
      <c r="AH69" s="142"/>
      <c r="AI69" s="142"/>
      <c r="AJ69" s="142"/>
      <c r="AK69" s="140">
        <f t="shared" si="28"/>
        <v>5321.7</v>
      </c>
      <c r="AL69" s="140">
        <f t="shared" si="28"/>
        <v>3670.7999999999997</v>
      </c>
      <c r="AM69" s="142"/>
      <c r="AN69" s="142"/>
      <c r="AO69" s="142"/>
      <c r="AP69" s="142"/>
      <c r="AQ69" s="146">
        <f t="shared" si="33"/>
        <v>5321.7</v>
      </c>
      <c r="AR69" s="146">
        <f t="shared" si="33"/>
        <v>3670.7999999999997</v>
      </c>
      <c r="AS69" s="142">
        <v>4314.8999999999996</v>
      </c>
      <c r="AT69" s="142">
        <v>2958.1</v>
      </c>
      <c r="AU69" s="142"/>
      <c r="AV69" s="142"/>
      <c r="AW69" s="142"/>
      <c r="AX69" s="142"/>
      <c r="AY69" s="142">
        <v>92</v>
      </c>
      <c r="AZ69" s="142">
        <v>25604069</v>
      </c>
      <c r="BA69" s="142"/>
      <c r="BB69" s="142"/>
      <c r="BC69" s="142">
        <v>13.2</v>
      </c>
      <c r="BD69" s="142"/>
      <c r="BE69" s="142"/>
      <c r="BF69" s="142"/>
      <c r="BG69" s="142">
        <v>570</v>
      </c>
      <c r="BH69" s="142"/>
      <c r="BI69" s="142"/>
      <c r="BJ69" s="142"/>
      <c r="BK69" s="140"/>
      <c r="BL69" s="142"/>
      <c r="BM69" s="142"/>
      <c r="BN69" s="142"/>
      <c r="BO69" s="142"/>
      <c r="BP69" s="147">
        <f t="shared" si="6"/>
        <v>1312.8244</v>
      </c>
      <c r="BQ69" s="142"/>
      <c r="BR69" s="148"/>
      <c r="BS69" s="149">
        <f>BP69</f>
        <v>1312.8244</v>
      </c>
      <c r="BT69" s="149">
        <v>1092.2</v>
      </c>
      <c r="BU69" s="142">
        <v>1092.2</v>
      </c>
      <c r="BV69" s="142">
        <v>4642.55</v>
      </c>
      <c r="BW69" s="142"/>
      <c r="BX69" s="142"/>
      <c r="BY69" s="148"/>
      <c r="BZ69" s="150"/>
      <c r="CA69" s="151"/>
      <c r="CB69" s="150"/>
      <c r="CC69" s="148"/>
      <c r="CD69" s="148"/>
      <c r="CE69" s="148"/>
      <c r="CF69" s="148"/>
      <c r="CG69" s="142"/>
      <c r="CH69" s="141"/>
      <c r="CI69" s="142"/>
      <c r="CJ69" s="142"/>
      <c r="CK69" s="142"/>
      <c r="CL69" s="142"/>
      <c r="CM69" s="142"/>
      <c r="CN69" s="142"/>
      <c r="CO69" s="142"/>
      <c r="CP69" s="142"/>
      <c r="CQ69" s="142"/>
      <c r="CR69" s="148"/>
      <c r="CS69" s="142"/>
      <c r="CT69" s="142"/>
      <c r="CU69" s="142"/>
      <c r="CV69" s="150"/>
      <c r="CW69" s="141"/>
      <c r="CX69" s="141"/>
      <c r="CY69" s="142"/>
      <c r="CZ69" s="142"/>
      <c r="DA69" s="142"/>
      <c r="DB69" s="142"/>
      <c r="DC69" s="148"/>
      <c r="DD69" s="148"/>
      <c r="DE69" s="142"/>
      <c r="DF69" s="142"/>
      <c r="DG69" s="142"/>
      <c r="DH69" s="148"/>
      <c r="DI69" s="142"/>
      <c r="DJ69" s="142"/>
      <c r="DK69" s="142"/>
      <c r="DL69" s="142"/>
      <c r="DM69" s="142"/>
      <c r="DN69" s="141"/>
      <c r="DO69" s="142"/>
      <c r="DP69" s="141"/>
      <c r="DQ69" s="141"/>
      <c r="DR69" s="142"/>
      <c r="DS69" s="148"/>
      <c r="DT69" s="148"/>
      <c r="DU69" s="142"/>
      <c r="DV69" s="150"/>
      <c r="DW69" s="142"/>
      <c r="DX69" s="148"/>
      <c r="DY69" s="142"/>
      <c r="DZ69" s="142"/>
      <c r="EA69" s="142"/>
      <c r="EB69" s="152"/>
      <c r="EC69" s="53">
        <f>21.6-0.72</f>
        <v>20.880000000000003</v>
      </c>
      <c r="ED69" s="53"/>
      <c r="EE69" s="153"/>
      <c r="EF69" s="153"/>
      <c r="EG69" s="53"/>
      <c r="EH69" s="53">
        <f>O69</f>
        <v>5321.7</v>
      </c>
      <c r="EI69" s="53"/>
      <c r="EJ69" s="154"/>
      <c r="EK69" s="154"/>
      <c r="EL69" s="154">
        <f t="shared" ref="EL69:EL80" si="34">O69-EJ69+EI69</f>
        <v>5321.7</v>
      </c>
      <c r="EM69" s="154"/>
      <c r="EN69" s="155">
        <f t="shared" si="15"/>
        <v>111117.09600000001</v>
      </c>
      <c r="EO69" s="155"/>
      <c r="EP69" s="156">
        <f t="shared" si="10"/>
        <v>0</v>
      </c>
      <c r="EQ69" s="156"/>
      <c r="ER69" s="156">
        <f t="shared" ref="ER69:ER75" si="35">M69*EE69</f>
        <v>0</v>
      </c>
      <c r="ES69" s="53">
        <v>21965.38</v>
      </c>
      <c r="ET69" s="157">
        <f t="shared" si="18"/>
        <v>-21965.38</v>
      </c>
      <c r="EU69" s="157">
        <f t="shared" si="16"/>
        <v>-4980.8117913832202</v>
      </c>
    </row>
    <row r="70" spans="1:151">
      <c r="A70" s="47">
        <v>60</v>
      </c>
      <c r="B70" s="73" t="s">
        <v>186</v>
      </c>
      <c r="C70" s="73">
        <v>43</v>
      </c>
      <c r="D70" s="74" t="s">
        <v>155</v>
      </c>
      <c r="E70" s="116" t="s">
        <v>150</v>
      </c>
      <c r="F70" s="57">
        <v>1959</v>
      </c>
      <c r="G70" s="57">
        <v>5</v>
      </c>
      <c r="H70" s="57">
        <v>2</v>
      </c>
      <c r="I70" s="75">
        <v>32</v>
      </c>
      <c r="J70" s="75">
        <v>58</v>
      </c>
      <c r="K70" s="75">
        <v>32</v>
      </c>
      <c r="L70" s="133">
        <f>[1]Поп.43!H37+[1]Поп.43!I37</f>
        <v>56</v>
      </c>
      <c r="M70" s="57">
        <v>1179</v>
      </c>
      <c r="N70" s="57">
        <f>[1]Поп.43!E41</f>
        <v>27.8</v>
      </c>
      <c r="O70" s="54">
        <f t="shared" si="12"/>
        <v>1206.8</v>
      </c>
      <c r="P70" s="76"/>
      <c r="Q70" s="76"/>
      <c r="R70" s="77">
        <v>768.4</v>
      </c>
      <c r="S70" s="77">
        <f>[1]Поп.43!F41</f>
        <v>16</v>
      </c>
      <c r="T70" s="57">
        <f t="shared" si="13"/>
        <v>784.4</v>
      </c>
      <c r="U70" s="57"/>
      <c r="V70" s="57"/>
      <c r="W70" s="78">
        <f t="shared" si="0"/>
        <v>1206.8</v>
      </c>
      <c r="X70" s="76">
        <f t="shared" si="1"/>
        <v>784.4</v>
      </c>
      <c r="Y70" s="76">
        <f t="shared" ref="Y70:Z81" si="36">W70</f>
        <v>1206.8</v>
      </c>
      <c r="Z70" s="76">
        <f t="shared" si="36"/>
        <v>784.4</v>
      </c>
      <c r="AA70" s="76"/>
      <c r="AB70" s="76"/>
      <c r="AC70" s="76">
        <f t="shared" si="32"/>
        <v>1206.8</v>
      </c>
      <c r="AD70" s="57">
        <f t="shared" si="32"/>
        <v>784.4</v>
      </c>
      <c r="AE70" s="57"/>
      <c r="AF70" s="57"/>
      <c r="AG70" s="57"/>
      <c r="AH70" s="57"/>
      <c r="AI70" s="57"/>
      <c r="AJ70" s="57"/>
      <c r="AK70" s="57">
        <f t="shared" ref="AK70:AL79" si="37">Y70</f>
        <v>1206.8</v>
      </c>
      <c r="AL70" s="57">
        <f t="shared" si="37"/>
        <v>784.4</v>
      </c>
      <c r="AM70" s="57"/>
      <c r="AN70" s="57"/>
      <c r="AO70" s="57"/>
      <c r="AP70" s="57"/>
      <c r="AQ70" s="79">
        <f t="shared" si="33"/>
        <v>1206.8</v>
      </c>
      <c r="AR70" s="79">
        <f t="shared" si="33"/>
        <v>784.4</v>
      </c>
      <c r="AS70" s="57">
        <v>257.5</v>
      </c>
      <c r="AT70" s="57">
        <v>164.7</v>
      </c>
      <c r="AU70" s="57"/>
      <c r="AV70" s="57"/>
      <c r="AW70" s="57"/>
      <c r="AX70" s="57"/>
      <c r="AY70" s="57">
        <v>7</v>
      </c>
      <c r="AZ70" s="57">
        <v>5331000</v>
      </c>
      <c r="BA70" s="57"/>
      <c r="BB70" s="57"/>
      <c r="BC70" s="57"/>
      <c r="BD70" s="57"/>
      <c r="BE70" s="57"/>
      <c r="BF70" s="57"/>
      <c r="BG70" s="57">
        <v>117.1</v>
      </c>
      <c r="BH70" s="57"/>
      <c r="BI70" s="57"/>
      <c r="BJ70" s="57"/>
      <c r="BK70" s="57"/>
      <c r="BL70" s="57"/>
      <c r="BM70" s="57"/>
      <c r="BN70" s="57"/>
      <c r="BO70" s="57"/>
      <c r="BP70" s="81">
        <f t="shared" si="6"/>
        <v>513.49439999999993</v>
      </c>
      <c r="BQ70" s="57"/>
      <c r="BR70" s="82"/>
      <c r="BS70" s="83"/>
      <c r="BT70" s="83">
        <v>427.2</v>
      </c>
      <c r="BU70" s="57">
        <v>0</v>
      </c>
      <c r="BV70" s="57">
        <v>758.4</v>
      </c>
      <c r="BW70" s="57"/>
      <c r="BX70" s="57"/>
      <c r="BY70" s="82"/>
      <c r="BZ70" s="57"/>
      <c r="CA70" s="57"/>
      <c r="CB70" s="57"/>
      <c r="CC70" s="82"/>
      <c r="CD70" s="82"/>
      <c r="CE70" s="82"/>
      <c r="CF70" s="82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84"/>
      <c r="CW70" s="84"/>
      <c r="CX70" s="57"/>
      <c r="CY70" s="57"/>
      <c r="CZ70" s="57"/>
      <c r="DA70" s="57"/>
      <c r="DB70" s="57"/>
      <c r="DC70" s="57"/>
      <c r="DD70" s="57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129"/>
      <c r="EC70" s="53">
        <f>21.6-0.72</f>
        <v>20.880000000000003</v>
      </c>
      <c r="ED70" s="88"/>
      <c r="EE70" s="65"/>
      <c r="EF70" s="65"/>
      <c r="EG70" s="88"/>
      <c r="EH70" s="88">
        <v>1262.7</v>
      </c>
      <c r="EI70" s="88"/>
      <c r="EJ70" s="66"/>
      <c r="EK70" s="66"/>
      <c r="EL70" s="66">
        <f t="shared" si="34"/>
        <v>1206.8</v>
      </c>
      <c r="EM70" s="66"/>
      <c r="EN70" s="67">
        <f t="shared" si="15"/>
        <v>26365.176000000003</v>
      </c>
      <c r="EO70" s="67"/>
      <c r="EP70" s="68">
        <f t="shared" si="10"/>
        <v>0</v>
      </c>
      <c r="EQ70" s="68"/>
      <c r="ER70" s="69">
        <f t="shared" si="35"/>
        <v>0</v>
      </c>
      <c r="ES70" s="89">
        <v>5135.0600000000004</v>
      </c>
      <c r="ET70" s="71">
        <f t="shared" si="18"/>
        <v>-5135.0600000000004</v>
      </c>
      <c r="EU70" s="71">
        <f t="shared" si="16"/>
        <v>-1164.4126984126985</v>
      </c>
    </row>
    <row r="71" spans="1:151">
      <c r="A71" s="47">
        <v>61</v>
      </c>
      <c r="B71" s="130" t="s">
        <v>186</v>
      </c>
      <c r="C71" s="130">
        <v>45</v>
      </c>
      <c r="D71" s="74" t="s">
        <v>155</v>
      </c>
      <c r="E71" s="116" t="s">
        <v>150</v>
      </c>
      <c r="F71" s="57">
        <v>1959</v>
      </c>
      <c r="G71" s="57">
        <v>4</v>
      </c>
      <c r="H71" s="57">
        <v>3</v>
      </c>
      <c r="I71" s="75">
        <v>46</v>
      </c>
      <c r="J71" s="75">
        <v>88</v>
      </c>
      <c r="K71" s="75">
        <v>48</v>
      </c>
      <c r="L71" s="133">
        <f>[1]Поп.45!H54+[1]Поп.45!I54</f>
        <v>87</v>
      </c>
      <c r="M71" s="57">
        <f>[1]Поп.45!E57</f>
        <v>1857.8</v>
      </c>
      <c r="N71" s="57">
        <f>[1]Поп.45!E58</f>
        <v>41.5</v>
      </c>
      <c r="O71" s="54">
        <f t="shared" si="12"/>
        <v>1899.3</v>
      </c>
      <c r="P71" s="57"/>
      <c r="Q71" s="57"/>
      <c r="R71" s="77">
        <f>[1]Поп.45!F57</f>
        <v>1214.7999999999997</v>
      </c>
      <c r="S71" s="77">
        <f>[1]Поп.45!F58</f>
        <v>24.799999999999997</v>
      </c>
      <c r="T71" s="57">
        <f t="shared" si="13"/>
        <v>1239.5999999999997</v>
      </c>
      <c r="U71" s="57"/>
      <c r="V71" s="57"/>
      <c r="W71" s="195">
        <f t="shared" si="0"/>
        <v>1899.3</v>
      </c>
      <c r="X71" s="57">
        <f t="shared" si="1"/>
        <v>1239.5999999999997</v>
      </c>
      <c r="Y71" s="57">
        <f t="shared" si="36"/>
        <v>1899.3</v>
      </c>
      <c r="Z71" s="57">
        <f t="shared" si="36"/>
        <v>1239.5999999999997</v>
      </c>
      <c r="AA71" s="57"/>
      <c r="AB71" s="57"/>
      <c r="AC71" s="57">
        <f t="shared" si="32"/>
        <v>1899.3</v>
      </c>
      <c r="AD71" s="57">
        <f t="shared" si="32"/>
        <v>1239.5999999999997</v>
      </c>
      <c r="AE71" s="57"/>
      <c r="AF71" s="57"/>
      <c r="AG71" s="57"/>
      <c r="AH71" s="57"/>
      <c r="AI71" s="57"/>
      <c r="AJ71" s="57"/>
      <c r="AK71" s="57">
        <f t="shared" si="37"/>
        <v>1899.3</v>
      </c>
      <c r="AL71" s="57">
        <f t="shared" si="37"/>
        <v>1239.5999999999997</v>
      </c>
      <c r="AM71" s="57"/>
      <c r="AN71" s="57"/>
      <c r="AO71" s="57"/>
      <c r="AP71" s="57"/>
      <c r="AQ71" s="79">
        <f t="shared" si="33"/>
        <v>1899.3</v>
      </c>
      <c r="AR71" s="79">
        <f t="shared" si="33"/>
        <v>1239.5999999999997</v>
      </c>
      <c r="AS71" s="57">
        <v>488.4</v>
      </c>
      <c r="AT71" s="57">
        <v>334.9</v>
      </c>
      <c r="AU71" s="57"/>
      <c r="AV71" s="57"/>
      <c r="AW71" s="57"/>
      <c r="AX71" s="57"/>
      <c r="AY71" s="57">
        <v>10</v>
      </c>
      <c r="AZ71" s="57">
        <v>10101000</v>
      </c>
      <c r="BA71" s="57"/>
      <c r="BB71" s="57">
        <v>87</v>
      </c>
      <c r="BC71" s="57"/>
      <c r="BD71" s="57"/>
      <c r="BE71" s="57"/>
      <c r="BF71" s="57"/>
      <c r="BG71" s="57">
        <v>162</v>
      </c>
      <c r="BH71" s="57"/>
      <c r="BI71" s="57"/>
      <c r="BJ71" s="57"/>
      <c r="BK71" s="80"/>
      <c r="BL71" s="57"/>
      <c r="BM71" s="57"/>
      <c r="BN71" s="57"/>
      <c r="BO71" s="57"/>
      <c r="BP71" s="81">
        <f t="shared" si="6"/>
        <v>748.48540000000003</v>
      </c>
      <c r="BQ71" s="57"/>
      <c r="BR71" s="82"/>
      <c r="BS71" s="83"/>
      <c r="BT71" s="83">
        <v>622.70000000000005</v>
      </c>
      <c r="BU71" s="57">
        <v>322.7</v>
      </c>
      <c r="BV71" s="57">
        <v>1578.04</v>
      </c>
      <c r="BW71" s="57"/>
      <c r="BX71" s="57"/>
      <c r="BY71" s="82"/>
      <c r="BZ71" s="84"/>
      <c r="CA71" s="84"/>
      <c r="CB71" s="84"/>
      <c r="CC71" s="85"/>
      <c r="CD71" s="85"/>
      <c r="CE71" s="85"/>
      <c r="CF71" s="85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6"/>
      <c r="CW71" s="86"/>
      <c r="CX71" s="80"/>
      <c r="CY71" s="80"/>
      <c r="CZ71" s="80"/>
      <c r="DA71" s="80"/>
      <c r="DB71" s="80"/>
      <c r="DC71" s="80"/>
      <c r="DD71" s="80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7"/>
      <c r="EC71" s="53">
        <f>21.6-0.72</f>
        <v>20.880000000000003</v>
      </c>
      <c r="ED71" s="88"/>
      <c r="EE71" s="65"/>
      <c r="EF71" s="65"/>
      <c r="EG71" s="88"/>
      <c r="EH71" s="88">
        <v>1858.2</v>
      </c>
      <c r="EI71" s="88"/>
      <c r="EJ71" s="66"/>
      <c r="EK71" s="66"/>
      <c r="EL71" s="66">
        <f t="shared" si="34"/>
        <v>1899.3</v>
      </c>
      <c r="EM71" s="66"/>
      <c r="EN71" s="67">
        <f t="shared" si="15"/>
        <v>38799.216000000008</v>
      </c>
      <c r="EO71" s="67"/>
      <c r="EP71" s="68">
        <f t="shared" si="10"/>
        <v>0</v>
      </c>
      <c r="EQ71" s="68"/>
      <c r="ER71" s="69">
        <f t="shared" si="35"/>
        <v>0</v>
      </c>
      <c r="ES71" s="88">
        <v>7761.6</v>
      </c>
      <c r="ET71" s="71">
        <f t="shared" si="18"/>
        <v>-7761.6</v>
      </c>
      <c r="EU71" s="71">
        <f t="shared" si="16"/>
        <v>-1760</v>
      </c>
    </row>
    <row r="72" spans="1:151">
      <c r="A72" s="47">
        <v>62</v>
      </c>
      <c r="B72" s="73" t="s">
        <v>186</v>
      </c>
      <c r="C72" s="73">
        <v>47</v>
      </c>
      <c r="D72" s="74" t="s">
        <v>155</v>
      </c>
      <c r="E72" s="116" t="s">
        <v>150</v>
      </c>
      <c r="F72" s="57">
        <v>1960</v>
      </c>
      <c r="G72" s="57">
        <v>5</v>
      </c>
      <c r="H72" s="57">
        <v>2</v>
      </c>
      <c r="I72" s="75">
        <v>35</v>
      </c>
      <c r="J72" s="75">
        <v>62</v>
      </c>
      <c r="K72" s="75">
        <v>35</v>
      </c>
      <c r="L72" s="133">
        <f>[1]Поп.47!H40+[1]Поп.47!I40</f>
        <v>74</v>
      </c>
      <c r="M72" s="57">
        <v>1272.4000000000001</v>
      </c>
      <c r="N72" s="57">
        <f>[1]Поп.47!E44</f>
        <v>92.5</v>
      </c>
      <c r="O72" s="54">
        <f t="shared" si="12"/>
        <v>1364.9</v>
      </c>
      <c r="P72" s="76"/>
      <c r="Q72" s="76"/>
      <c r="R72" s="77">
        <f>[1]Поп.47!F43</f>
        <v>812.19999999999993</v>
      </c>
      <c r="S72" s="77">
        <f>[1]Поп.47!F44</f>
        <v>53.9</v>
      </c>
      <c r="T72" s="57">
        <f t="shared" si="13"/>
        <v>866.09999999999991</v>
      </c>
      <c r="U72" s="57"/>
      <c r="V72" s="57"/>
      <c r="W72" s="78">
        <f t="shared" ref="W72:W89" si="38">O72+Q72</f>
        <v>1364.9</v>
      </c>
      <c r="X72" s="76">
        <f t="shared" ref="X72:X89" si="39">T72+V72</f>
        <v>866.09999999999991</v>
      </c>
      <c r="Y72" s="76">
        <f t="shared" si="36"/>
        <v>1364.9</v>
      </c>
      <c r="Z72" s="76">
        <f t="shared" si="36"/>
        <v>866.09999999999991</v>
      </c>
      <c r="AA72" s="76"/>
      <c r="AB72" s="76"/>
      <c r="AC72" s="76">
        <f t="shared" si="32"/>
        <v>1364.9</v>
      </c>
      <c r="AD72" s="57">
        <f t="shared" si="32"/>
        <v>866.09999999999991</v>
      </c>
      <c r="AE72" s="57"/>
      <c r="AF72" s="57"/>
      <c r="AG72" s="57"/>
      <c r="AH72" s="57"/>
      <c r="AI72" s="57"/>
      <c r="AJ72" s="57"/>
      <c r="AK72" s="57">
        <f t="shared" si="37"/>
        <v>1364.9</v>
      </c>
      <c r="AL72" s="57">
        <f t="shared" si="37"/>
        <v>866.09999999999991</v>
      </c>
      <c r="AM72" s="57"/>
      <c r="AN72" s="57"/>
      <c r="AO72" s="57"/>
      <c r="AP72" s="57"/>
      <c r="AQ72" s="79">
        <f t="shared" si="33"/>
        <v>1364.9</v>
      </c>
      <c r="AR72" s="79">
        <f t="shared" si="33"/>
        <v>866.09999999999991</v>
      </c>
      <c r="AS72" s="57">
        <v>450.5</v>
      </c>
      <c r="AT72" s="57">
        <v>297.2</v>
      </c>
      <c r="AU72" s="57"/>
      <c r="AV72" s="57"/>
      <c r="AW72" s="57"/>
      <c r="AX72" s="57"/>
      <c r="AY72" s="57">
        <v>10</v>
      </c>
      <c r="AZ72" s="57">
        <v>8031000</v>
      </c>
      <c r="BA72" s="57"/>
      <c r="BB72" s="57">
        <v>149</v>
      </c>
      <c r="BC72" s="57"/>
      <c r="BD72" s="57"/>
      <c r="BE72" s="57">
        <v>73.3</v>
      </c>
      <c r="BF72" s="57"/>
      <c r="BG72" s="57">
        <v>143.80000000000001</v>
      </c>
      <c r="BH72" s="57"/>
      <c r="BI72" s="57"/>
      <c r="BJ72" s="57"/>
      <c r="BK72" s="57"/>
      <c r="BL72" s="57"/>
      <c r="BM72" s="57"/>
      <c r="BN72" s="57"/>
      <c r="BO72" s="57"/>
      <c r="BP72" s="81">
        <f t="shared" si="6"/>
        <v>408.68</v>
      </c>
      <c r="BQ72" s="57"/>
      <c r="BR72" s="82"/>
      <c r="BS72" s="83"/>
      <c r="BT72" s="83">
        <v>340</v>
      </c>
      <c r="BU72" s="57">
        <v>340</v>
      </c>
      <c r="BV72" s="57">
        <v>717.22</v>
      </c>
      <c r="BW72" s="57"/>
      <c r="BX72" s="57"/>
      <c r="BY72" s="82"/>
      <c r="BZ72" s="57"/>
      <c r="CA72" s="57"/>
      <c r="CB72" s="57"/>
      <c r="CC72" s="82"/>
      <c r="CD72" s="82"/>
      <c r="CE72" s="82"/>
      <c r="CF72" s="82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84"/>
      <c r="CW72" s="84"/>
      <c r="CX72" s="57"/>
      <c r="CY72" s="57"/>
      <c r="CZ72" s="57"/>
      <c r="DA72" s="57"/>
      <c r="DB72" s="57"/>
      <c r="DC72" s="57"/>
      <c r="DD72" s="57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129"/>
      <c r="EC72" s="53">
        <f>21.6-0.72</f>
        <v>20.880000000000003</v>
      </c>
      <c r="ED72" s="88"/>
      <c r="EE72" s="65"/>
      <c r="EF72" s="65"/>
      <c r="EG72" s="88"/>
      <c r="EH72" s="88">
        <v>1365.9</v>
      </c>
      <c r="EI72" s="88"/>
      <c r="EJ72" s="66"/>
      <c r="EK72" s="66"/>
      <c r="EL72" s="66">
        <f t="shared" si="34"/>
        <v>1364.9</v>
      </c>
      <c r="EM72" s="66"/>
      <c r="EN72" s="67">
        <f t="shared" si="15"/>
        <v>28519.992000000006</v>
      </c>
      <c r="EO72" s="67"/>
      <c r="EP72" s="68">
        <f t="shared" ref="EP72:EP89" si="40">ED72*EI72</f>
        <v>0</v>
      </c>
      <c r="EQ72" s="68"/>
      <c r="ER72" s="69">
        <f t="shared" si="35"/>
        <v>0</v>
      </c>
      <c r="ES72" s="89">
        <v>5476.81</v>
      </c>
      <c r="ET72" s="71">
        <f t="shared" si="18"/>
        <v>-5476.81</v>
      </c>
      <c r="EU72" s="71">
        <f t="shared" si="16"/>
        <v>-1241.9070294784581</v>
      </c>
    </row>
    <row r="73" spans="1:151">
      <c r="A73" s="47">
        <v>63</v>
      </c>
      <c r="B73" s="73" t="s">
        <v>186</v>
      </c>
      <c r="C73" s="73" t="s">
        <v>158</v>
      </c>
      <c r="D73" s="74" t="s">
        <v>149</v>
      </c>
      <c r="E73" s="116" t="s">
        <v>150</v>
      </c>
      <c r="F73" s="57">
        <v>1980</v>
      </c>
      <c r="G73" s="57">
        <v>5</v>
      </c>
      <c r="H73" s="57">
        <v>4</v>
      </c>
      <c r="I73" s="75">
        <v>60</v>
      </c>
      <c r="J73" s="75">
        <v>120</v>
      </c>
      <c r="K73" s="75">
        <v>60</v>
      </c>
      <c r="L73" s="133">
        <f>[1]Поп.18А!H65+[1]Поп.18А!I65</f>
        <v>112</v>
      </c>
      <c r="M73" s="57">
        <f>[1]Поп.18А!E68</f>
        <v>2585.1000000000008</v>
      </c>
      <c r="N73" s="57">
        <f>[1]Поп.18А!E69</f>
        <v>104.30000000000001</v>
      </c>
      <c r="O73" s="54">
        <f t="shared" si="12"/>
        <v>2689.400000000001</v>
      </c>
      <c r="P73" s="76"/>
      <c r="Q73" s="76"/>
      <c r="R73" s="77">
        <f>[1]Поп.18А!F68</f>
        <v>1738.1999999999996</v>
      </c>
      <c r="S73" s="77">
        <f>[1]Поп.18А!F69</f>
        <v>74.400000000000006</v>
      </c>
      <c r="T73" s="57">
        <f t="shared" si="13"/>
        <v>1812.5999999999997</v>
      </c>
      <c r="U73" s="57"/>
      <c r="V73" s="57"/>
      <c r="W73" s="78">
        <f t="shared" si="38"/>
        <v>2689.400000000001</v>
      </c>
      <c r="X73" s="76">
        <f t="shared" si="39"/>
        <v>1812.5999999999997</v>
      </c>
      <c r="Y73" s="76">
        <f t="shared" si="36"/>
        <v>2689.400000000001</v>
      </c>
      <c r="Z73" s="76">
        <f t="shared" si="36"/>
        <v>1812.5999999999997</v>
      </c>
      <c r="AA73" s="76"/>
      <c r="AB73" s="76"/>
      <c r="AC73" s="76">
        <f t="shared" si="32"/>
        <v>2689.400000000001</v>
      </c>
      <c r="AD73" s="57">
        <f t="shared" si="32"/>
        <v>1812.5999999999997</v>
      </c>
      <c r="AE73" s="57"/>
      <c r="AF73" s="57"/>
      <c r="AG73" s="57"/>
      <c r="AH73" s="57"/>
      <c r="AI73" s="57"/>
      <c r="AJ73" s="57"/>
      <c r="AK73" s="57">
        <f t="shared" si="37"/>
        <v>2689.400000000001</v>
      </c>
      <c r="AL73" s="57">
        <f t="shared" si="37"/>
        <v>1812.5999999999997</v>
      </c>
      <c r="AM73" s="57"/>
      <c r="AN73" s="57"/>
      <c r="AO73" s="57"/>
      <c r="AP73" s="57"/>
      <c r="AQ73" s="169">
        <f>Y73</f>
        <v>2689.400000000001</v>
      </c>
      <c r="AR73" s="169">
        <f>Z73</f>
        <v>1812.5999999999997</v>
      </c>
      <c r="AS73" s="57">
        <v>1950.1</v>
      </c>
      <c r="AT73" s="57">
        <v>1317.1</v>
      </c>
      <c r="AU73" s="57"/>
      <c r="AV73" s="57"/>
      <c r="AW73" s="57"/>
      <c r="AX73" s="57"/>
      <c r="AY73" s="57">
        <v>43</v>
      </c>
      <c r="AZ73" s="57">
        <v>10507231</v>
      </c>
      <c r="BA73" s="57"/>
      <c r="BB73" s="57"/>
      <c r="BC73" s="57"/>
      <c r="BD73" s="57"/>
      <c r="BE73" s="57"/>
      <c r="BF73" s="57"/>
      <c r="BG73" s="57">
        <v>240</v>
      </c>
      <c r="BH73" s="57"/>
      <c r="BI73" s="57"/>
      <c r="BJ73" s="57"/>
      <c r="BK73" s="80">
        <v>116.4</v>
      </c>
      <c r="BL73" s="57"/>
      <c r="BM73" s="57"/>
      <c r="BN73" s="57"/>
      <c r="BO73" s="57"/>
      <c r="BP73" s="81">
        <f t="shared" si="6"/>
        <v>654.60919999999999</v>
      </c>
      <c r="BQ73" s="57"/>
      <c r="BR73" s="82"/>
      <c r="BS73" s="83">
        <f>BP73</f>
        <v>654.60919999999999</v>
      </c>
      <c r="BT73" s="83">
        <v>544.6</v>
      </c>
      <c r="BU73" s="57">
        <v>544.6</v>
      </c>
      <c r="BV73" s="57">
        <v>2528.6</v>
      </c>
      <c r="BW73" s="57"/>
      <c r="BX73" s="57"/>
      <c r="BY73" s="82"/>
      <c r="BZ73" s="84"/>
      <c r="CA73" s="84"/>
      <c r="CB73" s="84"/>
      <c r="CC73" s="85"/>
      <c r="CD73" s="85"/>
      <c r="CE73" s="85"/>
      <c r="CF73" s="85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6"/>
      <c r="CW73" s="86"/>
      <c r="CX73" s="80"/>
      <c r="CY73" s="80"/>
      <c r="CZ73" s="80"/>
      <c r="DA73" s="80"/>
      <c r="DB73" s="80"/>
      <c r="DC73" s="80"/>
      <c r="DD73" s="80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7"/>
      <c r="EC73" s="88">
        <f>22.45-0.72</f>
        <v>21.73</v>
      </c>
      <c r="ED73" s="88"/>
      <c r="EE73" s="65"/>
      <c r="EF73" s="65"/>
      <c r="EG73" s="88"/>
      <c r="EH73" s="88">
        <f>O73</f>
        <v>2689.400000000001</v>
      </c>
      <c r="EI73" s="88"/>
      <c r="EJ73" s="66"/>
      <c r="EK73" s="66"/>
      <c r="EL73" s="66">
        <f t="shared" si="34"/>
        <v>2689.400000000001</v>
      </c>
      <c r="EM73" s="66"/>
      <c r="EN73" s="67">
        <f t="shared" ref="EN73:EN89" si="41">EC73*EH73</f>
        <v>58440.662000000026</v>
      </c>
      <c r="EO73" s="67"/>
      <c r="EP73" s="68">
        <f t="shared" si="40"/>
        <v>0</v>
      </c>
      <c r="EQ73" s="68"/>
      <c r="ER73" s="69">
        <f t="shared" si="35"/>
        <v>0</v>
      </c>
      <c r="ES73" s="89">
        <v>10614.44</v>
      </c>
      <c r="ET73" s="71">
        <f t="shared" si="18"/>
        <v>-10614.44</v>
      </c>
      <c r="EU73" s="71">
        <f t="shared" si="16"/>
        <v>-2406.902494331066</v>
      </c>
    </row>
    <row r="74" spans="1:151">
      <c r="A74" s="47">
        <v>64</v>
      </c>
      <c r="B74" s="130" t="s">
        <v>186</v>
      </c>
      <c r="C74" s="130" t="s">
        <v>160</v>
      </c>
      <c r="D74" s="74" t="s">
        <v>149</v>
      </c>
      <c r="E74" s="116" t="s">
        <v>150</v>
      </c>
      <c r="F74" s="80">
        <v>1980</v>
      </c>
      <c r="G74" s="57">
        <v>5</v>
      </c>
      <c r="H74" s="57">
        <v>2</v>
      </c>
      <c r="I74" s="117">
        <v>32</v>
      </c>
      <c r="J74" s="117">
        <v>56</v>
      </c>
      <c r="K74" s="117">
        <v>32</v>
      </c>
      <c r="L74" s="133">
        <f>[1]Поп.20А!H37+[1]Поп.20А!I37</f>
        <v>37</v>
      </c>
      <c r="M74" s="80">
        <f>[1]Поп.20А!E40</f>
        <v>1431.4000000000003</v>
      </c>
      <c r="N74" s="80">
        <f>[1]Поп.20А!E41</f>
        <v>0</v>
      </c>
      <c r="O74" s="54">
        <f t="shared" si="12"/>
        <v>1431.4000000000003</v>
      </c>
      <c r="P74" s="80"/>
      <c r="Q74" s="80">
        <v>33.9</v>
      </c>
      <c r="R74" s="77">
        <f>[1]Поп.20А!F40</f>
        <v>867.59999999999991</v>
      </c>
      <c r="S74" s="77">
        <f>[1]Поп.20А!F41</f>
        <v>0</v>
      </c>
      <c r="T74" s="57">
        <f t="shared" si="13"/>
        <v>867.59999999999991</v>
      </c>
      <c r="U74" s="80"/>
      <c r="V74" s="80">
        <v>18.899999999999999</v>
      </c>
      <c r="W74" s="78">
        <f t="shared" si="38"/>
        <v>1465.3000000000004</v>
      </c>
      <c r="X74" s="76">
        <f t="shared" si="39"/>
        <v>886.49999999999989</v>
      </c>
      <c r="Y74" s="76">
        <f t="shared" si="36"/>
        <v>1465.3000000000004</v>
      </c>
      <c r="Z74" s="76">
        <f t="shared" si="36"/>
        <v>886.49999999999989</v>
      </c>
      <c r="AA74" s="80"/>
      <c r="AB74" s="80"/>
      <c r="AC74" s="76"/>
      <c r="AD74" s="57"/>
      <c r="AE74" s="80"/>
      <c r="AF74" s="80"/>
      <c r="AG74" s="80"/>
      <c r="AH74" s="80"/>
      <c r="AI74" s="80"/>
      <c r="AJ74" s="80"/>
      <c r="AK74" s="57">
        <f t="shared" si="37"/>
        <v>1465.3000000000004</v>
      </c>
      <c r="AL74" s="57">
        <f t="shared" si="37"/>
        <v>886.49999999999989</v>
      </c>
      <c r="AM74" s="80"/>
      <c r="AN74" s="80"/>
      <c r="AO74" s="80">
        <v>1465</v>
      </c>
      <c r="AP74" s="80">
        <v>886.5</v>
      </c>
      <c r="AQ74" s="197"/>
      <c r="AR74" s="197"/>
      <c r="AS74" s="80">
        <v>1278.7</v>
      </c>
      <c r="AT74" s="80">
        <v>780</v>
      </c>
      <c r="AU74" s="80"/>
      <c r="AV74" s="80"/>
      <c r="AW74" s="80">
        <v>1465</v>
      </c>
      <c r="AX74" s="80">
        <v>886.5</v>
      </c>
      <c r="AY74" s="80">
        <v>24</v>
      </c>
      <c r="AZ74" s="80">
        <v>9624511</v>
      </c>
      <c r="BA74" s="80"/>
      <c r="BB74" s="80"/>
      <c r="BC74" s="80"/>
      <c r="BD74" s="80">
        <v>237.8</v>
      </c>
      <c r="BE74" s="80">
        <v>206.7</v>
      </c>
      <c r="BF74" s="80"/>
      <c r="BG74" s="80">
        <v>116.4</v>
      </c>
      <c r="BH74" s="80"/>
      <c r="BI74" s="80"/>
      <c r="BJ74" s="80"/>
      <c r="BK74" s="57"/>
      <c r="BL74" s="80"/>
      <c r="BM74" s="80"/>
      <c r="BN74" s="80"/>
      <c r="BO74" s="80"/>
      <c r="BP74" s="81">
        <f t="shared" ref="BP74:BP89" si="42">BT74*1.202</f>
        <v>458.44279999999998</v>
      </c>
      <c r="BQ74" s="80"/>
      <c r="BR74" s="120"/>
      <c r="BS74" s="83">
        <f>BP74</f>
        <v>458.44279999999998</v>
      </c>
      <c r="BT74" s="83">
        <v>381.4</v>
      </c>
      <c r="BU74" s="80">
        <v>381.4</v>
      </c>
      <c r="BV74" s="80">
        <v>5005.3999999999996</v>
      </c>
      <c r="BW74" s="80"/>
      <c r="BX74" s="80"/>
      <c r="BY74" s="120"/>
      <c r="BZ74" s="86"/>
      <c r="CA74" s="121"/>
      <c r="CB74" s="86"/>
      <c r="CC74" s="120"/>
      <c r="CD74" s="120"/>
      <c r="CE74" s="120"/>
      <c r="CF74" s="120"/>
      <c r="CG74" s="80"/>
      <c r="CH74" s="117"/>
      <c r="CI74" s="80"/>
      <c r="CJ74" s="80"/>
      <c r="CK74" s="80"/>
      <c r="CL74" s="80"/>
      <c r="CM74" s="80"/>
      <c r="CN74" s="80"/>
      <c r="CO74" s="80"/>
      <c r="CP74" s="80"/>
      <c r="CQ74" s="80"/>
      <c r="CR74" s="120"/>
      <c r="CS74" s="80"/>
      <c r="CT74" s="80"/>
      <c r="CU74" s="80"/>
      <c r="CV74" s="86"/>
      <c r="CW74" s="117"/>
      <c r="CX74" s="117"/>
      <c r="CY74" s="80"/>
      <c r="CZ74" s="80"/>
      <c r="DA74" s="80"/>
      <c r="DB74" s="80"/>
      <c r="DC74" s="120"/>
      <c r="DD74" s="120"/>
      <c r="DE74" s="80"/>
      <c r="DF74" s="80"/>
      <c r="DG74" s="80"/>
      <c r="DH74" s="120"/>
      <c r="DI74" s="80"/>
      <c r="DJ74" s="80"/>
      <c r="DK74" s="80"/>
      <c r="DL74" s="80"/>
      <c r="DM74" s="80"/>
      <c r="DN74" s="117"/>
      <c r="DO74" s="80"/>
      <c r="DP74" s="117"/>
      <c r="DQ74" s="117"/>
      <c r="DR74" s="80"/>
      <c r="DS74" s="120"/>
      <c r="DT74" s="120"/>
      <c r="DU74" s="80"/>
      <c r="DV74" s="86"/>
      <c r="DW74" s="80"/>
      <c r="DX74" s="120"/>
      <c r="DY74" s="80"/>
      <c r="DZ74" s="80"/>
      <c r="EA74" s="80"/>
      <c r="EB74" s="122"/>
      <c r="EC74" s="88">
        <f>24.87-1.6</f>
        <v>23.27</v>
      </c>
      <c r="ED74" s="88"/>
      <c r="EE74" s="65"/>
      <c r="EF74" s="65"/>
      <c r="EG74" s="88"/>
      <c r="EH74" s="88">
        <v>1431.1</v>
      </c>
      <c r="EI74" s="88"/>
      <c r="EJ74" s="66"/>
      <c r="EK74" s="66"/>
      <c r="EL74" s="66">
        <f t="shared" si="34"/>
        <v>1431.4000000000003</v>
      </c>
      <c r="EM74" s="66"/>
      <c r="EN74" s="67">
        <f t="shared" si="41"/>
        <v>33301.697</v>
      </c>
      <c r="EO74" s="67"/>
      <c r="EP74" s="68">
        <f t="shared" si="40"/>
        <v>0</v>
      </c>
      <c r="EQ74" s="68"/>
      <c r="ER74" s="69">
        <f t="shared" si="35"/>
        <v>0</v>
      </c>
      <c r="ES74" s="88">
        <v>6090.64</v>
      </c>
      <c r="ET74" s="71">
        <f t="shared" si="18"/>
        <v>-6090.64</v>
      </c>
      <c r="EU74" s="71">
        <f t="shared" si="16"/>
        <v>-1381.0975056689342</v>
      </c>
    </row>
    <row r="75" spans="1:151">
      <c r="A75" s="47">
        <v>65</v>
      </c>
      <c r="B75" s="73" t="s">
        <v>186</v>
      </c>
      <c r="C75" s="73" t="s">
        <v>188</v>
      </c>
      <c r="D75" s="74" t="s">
        <v>149</v>
      </c>
      <c r="E75" s="116" t="s">
        <v>150</v>
      </c>
      <c r="F75" s="57">
        <v>1979</v>
      </c>
      <c r="G75" s="57">
        <v>5</v>
      </c>
      <c r="H75" s="57">
        <v>4</v>
      </c>
      <c r="I75" s="75">
        <v>59</v>
      </c>
      <c r="J75" s="75">
        <v>117</v>
      </c>
      <c r="K75" s="75">
        <v>59</v>
      </c>
      <c r="L75" s="133">
        <f>[1]Поп.22А!H65+[1]Поп.22А!I65</f>
        <v>128</v>
      </c>
      <c r="M75" s="57">
        <f>[1]Поп.22А!E68</f>
        <v>2436.1</v>
      </c>
      <c r="N75" s="57">
        <f>[1]Поп.22А!E69</f>
        <v>180.4</v>
      </c>
      <c r="O75" s="54">
        <f t="shared" si="12"/>
        <v>2616.5</v>
      </c>
      <c r="P75" s="76"/>
      <c r="Q75" s="76">
        <v>60.8</v>
      </c>
      <c r="R75" s="77">
        <f>[1]Поп.22А!F68</f>
        <v>1638.1999999999989</v>
      </c>
      <c r="S75" s="77">
        <f>[1]Поп.22А!F69</f>
        <v>121.19999999999999</v>
      </c>
      <c r="T75" s="57">
        <f t="shared" si="13"/>
        <v>1759.399999999999</v>
      </c>
      <c r="U75" s="57"/>
      <c r="V75" s="57">
        <v>44.6</v>
      </c>
      <c r="W75" s="78">
        <f t="shared" si="38"/>
        <v>2677.3</v>
      </c>
      <c r="X75" s="76">
        <f t="shared" si="39"/>
        <v>1803.9999999999989</v>
      </c>
      <c r="Y75" s="76">
        <f t="shared" si="36"/>
        <v>2677.3</v>
      </c>
      <c r="Z75" s="76">
        <f t="shared" si="36"/>
        <v>1803.9999999999989</v>
      </c>
      <c r="AA75" s="76"/>
      <c r="AB75" s="76"/>
      <c r="AC75" s="76">
        <f t="shared" ref="AC75:AD89" si="43">Y75</f>
        <v>2677.3</v>
      </c>
      <c r="AD75" s="57">
        <f t="shared" si="43"/>
        <v>1803.9999999999989</v>
      </c>
      <c r="AE75" s="57"/>
      <c r="AF75" s="57"/>
      <c r="AG75" s="57"/>
      <c r="AH75" s="57"/>
      <c r="AI75" s="57"/>
      <c r="AJ75" s="57"/>
      <c r="AK75" s="57">
        <f t="shared" si="37"/>
        <v>2677.3</v>
      </c>
      <c r="AL75" s="57">
        <f t="shared" si="37"/>
        <v>1803.9999999999989</v>
      </c>
      <c r="AM75" s="57"/>
      <c r="AN75" s="57"/>
      <c r="AO75" s="57"/>
      <c r="AP75" s="57"/>
      <c r="AQ75" s="169">
        <f>Y75</f>
        <v>2677.3</v>
      </c>
      <c r="AR75" s="169">
        <f>Z75</f>
        <v>1803.9999999999989</v>
      </c>
      <c r="AS75" s="57">
        <v>2319</v>
      </c>
      <c r="AT75" s="57">
        <v>1559.3</v>
      </c>
      <c r="AU75" s="57"/>
      <c r="AV75" s="57"/>
      <c r="AW75" s="57"/>
      <c r="AX75" s="57"/>
      <c r="AY75" s="57">
        <v>52</v>
      </c>
      <c r="AZ75" s="57">
        <v>10745556</v>
      </c>
      <c r="BA75" s="57"/>
      <c r="BB75" s="57"/>
      <c r="BC75" s="57"/>
      <c r="BD75" s="57"/>
      <c r="BE75" s="57"/>
      <c r="BF75" s="57"/>
      <c r="BG75" s="57">
        <v>240</v>
      </c>
      <c r="BH75" s="57"/>
      <c r="BI75" s="57"/>
      <c r="BJ75" s="57"/>
      <c r="BK75" s="57"/>
      <c r="BL75" s="57"/>
      <c r="BM75" s="57"/>
      <c r="BN75" s="57"/>
      <c r="BO75" s="57"/>
      <c r="BP75" s="81">
        <f t="shared" si="42"/>
        <v>648.23859999999991</v>
      </c>
      <c r="BQ75" s="57"/>
      <c r="BR75" s="82"/>
      <c r="BS75" s="83">
        <f>BP75</f>
        <v>648.23859999999991</v>
      </c>
      <c r="BT75" s="83">
        <v>539.29999999999995</v>
      </c>
      <c r="BU75" s="57">
        <v>539.29999999999995</v>
      </c>
      <c r="BV75" s="57">
        <v>2401.3000000000002</v>
      </c>
      <c r="BW75" s="57"/>
      <c r="BX75" s="57"/>
      <c r="BY75" s="82"/>
      <c r="BZ75" s="57"/>
      <c r="CA75" s="57"/>
      <c r="CB75" s="57"/>
      <c r="CC75" s="82"/>
      <c r="CD75" s="82"/>
      <c r="CE75" s="82"/>
      <c r="CF75" s="82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84"/>
      <c r="CW75" s="84"/>
      <c r="CX75" s="57"/>
      <c r="CY75" s="57"/>
      <c r="CZ75" s="57"/>
      <c r="DA75" s="57"/>
      <c r="DB75" s="57"/>
      <c r="DC75" s="57"/>
      <c r="DD75" s="57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129"/>
      <c r="EC75" s="88">
        <f>22.45-0.72</f>
        <v>21.73</v>
      </c>
      <c r="ED75" s="88"/>
      <c r="EE75" s="65"/>
      <c r="EF75" s="65"/>
      <c r="EG75" s="88"/>
      <c r="EH75" s="88">
        <f t="shared" ref="EH75:EH80" si="44">O75</f>
        <v>2616.5</v>
      </c>
      <c r="EI75" s="88"/>
      <c r="EJ75" s="66"/>
      <c r="EK75" s="66"/>
      <c r="EL75" s="66">
        <f t="shared" si="34"/>
        <v>2616.5</v>
      </c>
      <c r="EM75" s="66"/>
      <c r="EN75" s="67">
        <f t="shared" si="41"/>
        <v>56856.544999999998</v>
      </c>
      <c r="EO75" s="67"/>
      <c r="EP75" s="68">
        <f t="shared" si="40"/>
        <v>0</v>
      </c>
      <c r="EQ75" s="68"/>
      <c r="ER75" s="69">
        <f t="shared" si="35"/>
        <v>0</v>
      </c>
      <c r="ES75" s="89">
        <v>10741.91</v>
      </c>
      <c r="ET75" s="71">
        <f t="shared" si="18"/>
        <v>-10741.91</v>
      </c>
      <c r="EU75" s="71">
        <f t="shared" si="16"/>
        <v>-2435.8072562358275</v>
      </c>
    </row>
    <row r="76" spans="1:151">
      <c r="A76" s="47">
        <v>66</v>
      </c>
      <c r="B76" s="73" t="s">
        <v>186</v>
      </c>
      <c r="C76" s="73" t="s">
        <v>189</v>
      </c>
      <c r="D76" s="74" t="s">
        <v>149</v>
      </c>
      <c r="E76" s="116" t="s">
        <v>150</v>
      </c>
      <c r="F76" s="57">
        <v>1979</v>
      </c>
      <c r="G76" s="57">
        <v>5</v>
      </c>
      <c r="H76" s="57">
        <v>4</v>
      </c>
      <c r="I76" s="75">
        <v>60</v>
      </c>
      <c r="J76" s="75">
        <v>120</v>
      </c>
      <c r="K76" s="75">
        <v>61</v>
      </c>
      <c r="L76" s="133">
        <f>[1]Поп.24А!H64+[1]Поп.24А!I64</f>
        <v>134</v>
      </c>
      <c r="M76" s="116">
        <f>[1]Поп.24А!E67</f>
        <v>2584</v>
      </c>
      <c r="N76" s="116">
        <f>[1]Поп.24А!E68</f>
        <v>103.5</v>
      </c>
      <c r="O76" s="54">
        <f t="shared" ref="O76:O89" si="45">M76+N76</f>
        <v>2687.5</v>
      </c>
      <c r="P76" s="76"/>
      <c r="Q76" s="76"/>
      <c r="R76" s="77">
        <f>[1]Поп.24А!F67</f>
        <v>1742.0000000000002</v>
      </c>
      <c r="S76" s="77">
        <f>[1]Поп.24А!F68</f>
        <v>63.9</v>
      </c>
      <c r="T76" s="57">
        <f t="shared" ref="T76:T89" si="46">R76+S76</f>
        <v>1805.9000000000003</v>
      </c>
      <c r="U76" s="57"/>
      <c r="V76" s="57"/>
      <c r="W76" s="78">
        <f t="shared" si="38"/>
        <v>2687.5</v>
      </c>
      <c r="X76" s="76">
        <f t="shared" si="39"/>
        <v>1805.9000000000003</v>
      </c>
      <c r="Y76" s="76">
        <f t="shared" si="36"/>
        <v>2687.5</v>
      </c>
      <c r="Z76" s="76">
        <f t="shared" si="36"/>
        <v>1805.9000000000003</v>
      </c>
      <c r="AA76" s="76"/>
      <c r="AB76" s="76"/>
      <c r="AC76" s="76">
        <f t="shared" si="43"/>
        <v>2687.5</v>
      </c>
      <c r="AD76" s="57">
        <f t="shared" si="43"/>
        <v>1805.9000000000003</v>
      </c>
      <c r="AE76" s="57"/>
      <c r="AF76" s="57"/>
      <c r="AG76" s="57"/>
      <c r="AH76" s="57"/>
      <c r="AI76" s="57"/>
      <c r="AJ76" s="57"/>
      <c r="AK76" s="57">
        <f t="shared" si="37"/>
        <v>2687.5</v>
      </c>
      <c r="AL76" s="57">
        <f t="shared" si="37"/>
        <v>1805.9000000000003</v>
      </c>
      <c r="AM76" s="57"/>
      <c r="AN76" s="57"/>
      <c r="AO76" s="57"/>
      <c r="AP76" s="57"/>
      <c r="AQ76" s="169">
        <f t="shared" ref="AQ76:AR89" si="47">Y76</f>
        <v>2687.5</v>
      </c>
      <c r="AR76" s="169">
        <f t="shared" si="47"/>
        <v>1805.9000000000003</v>
      </c>
      <c r="AS76" s="57">
        <v>1971.5</v>
      </c>
      <c r="AT76" s="57">
        <v>1314.7</v>
      </c>
      <c r="AU76" s="57"/>
      <c r="AV76" s="57"/>
      <c r="AW76" s="57"/>
      <c r="AX76" s="57"/>
      <c r="AY76" s="57">
        <v>46</v>
      </c>
      <c r="AZ76" s="57">
        <v>10451867</v>
      </c>
      <c r="BA76" s="57"/>
      <c r="BB76" s="57"/>
      <c r="BC76" s="57"/>
      <c r="BD76" s="57"/>
      <c r="BE76" s="57"/>
      <c r="BF76" s="57"/>
      <c r="BG76" s="57">
        <v>240</v>
      </c>
      <c r="BH76" s="57"/>
      <c r="BI76" s="57"/>
      <c r="BJ76" s="57"/>
      <c r="BK76" s="80"/>
      <c r="BL76" s="57"/>
      <c r="BM76" s="57"/>
      <c r="BN76" s="57"/>
      <c r="BO76" s="57"/>
      <c r="BP76" s="81">
        <f t="shared" si="42"/>
        <v>652.56579999999997</v>
      </c>
      <c r="BQ76" s="57"/>
      <c r="BR76" s="82"/>
      <c r="BS76" s="83">
        <f>BP76</f>
        <v>652.56579999999997</v>
      </c>
      <c r="BT76" s="83">
        <v>542.9</v>
      </c>
      <c r="BU76" s="57">
        <v>542.9</v>
      </c>
      <c r="BV76" s="57">
        <v>4384.8</v>
      </c>
      <c r="BW76" s="57"/>
      <c r="BX76" s="57"/>
      <c r="BY76" s="82"/>
      <c r="BZ76" s="84"/>
      <c r="CA76" s="84"/>
      <c r="CB76" s="84"/>
      <c r="CC76" s="85"/>
      <c r="CD76" s="85"/>
      <c r="CE76" s="85"/>
      <c r="CF76" s="85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6"/>
      <c r="CW76" s="86"/>
      <c r="CX76" s="80"/>
      <c r="CY76" s="80"/>
      <c r="CZ76" s="80"/>
      <c r="DA76" s="80"/>
      <c r="DB76" s="80"/>
      <c r="DC76" s="80"/>
      <c r="DD76" s="80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7"/>
      <c r="EC76" s="88">
        <f>22.45-0.72</f>
        <v>21.73</v>
      </c>
      <c r="ED76" s="88"/>
      <c r="EE76" s="65"/>
      <c r="EF76" s="65"/>
      <c r="EG76" s="88"/>
      <c r="EH76" s="88">
        <f t="shared" si="44"/>
        <v>2687.5</v>
      </c>
      <c r="EI76" s="88"/>
      <c r="EJ76" s="66"/>
      <c r="EK76" s="66"/>
      <c r="EL76" s="66">
        <f t="shared" si="34"/>
        <v>2687.5</v>
      </c>
      <c r="EM76" s="66"/>
      <c r="EN76" s="67">
        <f t="shared" si="41"/>
        <v>58399.375</v>
      </c>
      <c r="EO76" s="67"/>
      <c r="EP76" s="68">
        <f t="shared" si="40"/>
        <v>0</v>
      </c>
      <c r="EQ76" s="68">
        <f>EF76*EI76</f>
        <v>0</v>
      </c>
      <c r="ER76" s="69">
        <f>(M76-EJ76)*4.41</f>
        <v>11395.44</v>
      </c>
      <c r="ES76" s="89">
        <v>10262.950000000001</v>
      </c>
      <c r="ET76" s="71">
        <f>EQ76+ER76-ES76</f>
        <v>1132.4899999999998</v>
      </c>
      <c r="EU76" s="71">
        <f t="shared" ref="EU76:EU89" si="48">ET76/4.41</f>
        <v>256.80045351473916</v>
      </c>
    </row>
    <row r="77" spans="1:151">
      <c r="A77" s="47">
        <v>67</v>
      </c>
      <c r="B77" s="198" t="s">
        <v>186</v>
      </c>
      <c r="C77" s="198" t="s">
        <v>190</v>
      </c>
      <c r="D77" s="199" t="s">
        <v>151</v>
      </c>
      <c r="E77" s="200" t="s">
        <v>150</v>
      </c>
      <c r="F77" s="201">
        <v>1984</v>
      </c>
      <c r="G77" s="202">
        <v>5</v>
      </c>
      <c r="H77" s="202">
        <v>3</v>
      </c>
      <c r="I77" s="203">
        <v>45</v>
      </c>
      <c r="J77" s="203">
        <v>90</v>
      </c>
      <c r="K77" s="203">
        <v>45</v>
      </c>
      <c r="L77" s="204">
        <f>[1]Поп.43А!H51+[1]Поп.43А!I51</f>
        <v>97</v>
      </c>
      <c r="M77" s="201">
        <v>2167.5</v>
      </c>
      <c r="N77" s="201">
        <v>50</v>
      </c>
      <c r="O77" s="205">
        <f t="shared" si="45"/>
        <v>2217.5</v>
      </c>
      <c r="P77" s="201"/>
      <c r="Q77" s="201"/>
      <c r="R77" s="206">
        <v>1258.8</v>
      </c>
      <c r="S77" s="206">
        <v>29.1</v>
      </c>
      <c r="T77" s="202">
        <f t="shared" si="46"/>
        <v>1287.8999999999999</v>
      </c>
      <c r="U77" s="201"/>
      <c r="V77" s="201"/>
      <c r="W77" s="207">
        <f t="shared" si="38"/>
        <v>2217.5</v>
      </c>
      <c r="X77" s="202">
        <f t="shared" si="39"/>
        <v>1287.8999999999999</v>
      </c>
      <c r="Y77" s="202">
        <f t="shared" si="36"/>
        <v>2217.5</v>
      </c>
      <c r="Z77" s="202">
        <f t="shared" si="36"/>
        <v>1287.8999999999999</v>
      </c>
      <c r="AA77" s="201"/>
      <c r="AB77" s="201"/>
      <c r="AC77" s="202">
        <f t="shared" si="43"/>
        <v>2217.5</v>
      </c>
      <c r="AD77" s="202">
        <f t="shared" si="43"/>
        <v>1287.8999999999999</v>
      </c>
      <c r="AE77" s="201"/>
      <c r="AF77" s="201"/>
      <c r="AG77" s="201"/>
      <c r="AH77" s="201"/>
      <c r="AI77" s="201"/>
      <c r="AJ77" s="201"/>
      <c r="AK77" s="202">
        <f t="shared" si="37"/>
        <v>2217.5</v>
      </c>
      <c r="AL77" s="202">
        <f t="shared" si="37"/>
        <v>1287.8999999999999</v>
      </c>
      <c r="AM77" s="201"/>
      <c r="AN77" s="201"/>
      <c r="AO77" s="201"/>
      <c r="AP77" s="201"/>
      <c r="AQ77" s="208">
        <f t="shared" si="47"/>
        <v>2217.5</v>
      </c>
      <c r="AR77" s="208">
        <f t="shared" si="47"/>
        <v>1287.8999999999999</v>
      </c>
      <c r="AS77" s="201">
        <v>1906.2</v>
      </c>
      <c r="AT77" s="201">
        <v>1114.4000000000001</v>
      </c>
      <c r="AU77" s="201"/>
      <c r="AV77" s="201"/>
      <c r="AW77" s="201"/>
      <c r="AX77" s="201"/>
      <c r="AY77" s="201">
        <v>38</v>
      </c>
      <c r="AZ77" s="201">
        <v>18959010</v>
      </c>
      <c r="BA77" s="201"/>
      <c r="BB77" s="201"/>
      <c r="BC77" s="201"/>
      <c r="BD77" s="201"/>
      <c r="BE77" s="201"/>
      <c r="BF77" s="201"/>
      <c r="BG77" s="201">
        <v>185.4</v>
      </c>
      <c r="BH77" s="201"/>
      <c r="BI77" s="201"/>
      <c r="BJ77" s="201"/>
      <c r="BK77" s="202"/>
      <c r="BL77" s="201"/>
      <c r="BM77" s="201"/>
      <c r="BN77" s="201"/>
      <c r="BO77" s="201"/>
      <c r="BP77" s="209">
        <f t="shared" si="42"/>
        <v>757.26</v>
      </c>
      <c r="BQ77" s="201"/>
      <c r="BR77" s="210">
        <v>757.26</v>
      </c>
      <c r="BS77" s="211"/>
      <c r="BT77" s="211">
        <v>630</v>
      </c>
      <c r="BU77" s="201">
        <v>630</v>
      </c>
      <c r="BV77" s="201">
        <v>3218.6</v>
      </c>
      <c r="BW77" s="201"/>
      <c r="BX77" s="201"/>
      <c r="BY77" s="212"/>
      <c r="BZ77" s="213"/>
      <c r="CA77" s="214"/>
      <c r="CB77" s="213"/>
      <c r="CC77" s="212"/>
      <c r="CD77" s="212"/>
      <c r="CE77" s="212"/>
      <c r="CF77" s="212"/>
      <c r="CG77" s="201"/>
      <c r="CH77" s="203"/>
      <c r="CI77" s="201"/>
      <c r="CJ77" s="201"/>
      <c r="CK77" s="201"/>
      <c r="CL77" s="201"/>
      <c r="CM77" s="201"/>
      <c r="CN77" s="201"/>
      <c r="CO77" s="201"/>
      <c r="CP77" s="201"/>
      <c r="CQ77" s="201"/>
      <c r="CR77" s="212"/>
      <c r="CS77" s="201"/>
      <c r="CT77" s="201"/>
      <c r="CU77" s="201"/>
      <c r="CV77" s="213"/>
      <c r="CW77" s="203"/>
      <c r="CX77" s="203"/>
      <c r="CY77" s="201"/>
      <c r="CZ77" s="201"/>
      <c r="DA77" s="201"/>
      <c r="DB77" s="201"/>
      <c r="DC77" s="212"/>
      <c r="DD77" s="212"/>
      <c r="DE77" s="201"/>
      <c r="DF77" s="201"/>
      <c r="DG77" s="201"/>
      <c r="DH77" s="212"/>
      <c r="DI77" s="201"/>
      <c r="DJ77" s="201"/>
      <c r="DK77" s="201"/>
      <c r="DL77" s="201"/>
      <c r="DM77" s="201"/>
      <c r="DN77" s="203"/>
      <c r="DO77" s="201"/>
      <c r="DP77" s="203"/>
      <c r="DQ77" s="203"/>
      <c r="DR77" s="201"/>
      <c r="DS77" s="212"/>
      <c r="DT77" s="212"/>
      <c r="DU77" s="201"/>
      <c r="DV77" s="213"/>
      <c r="DW77" s="201"/>
      <c r="DX77" s="212"/>
      <c r="DY77" s="201"/>
      <c r="DZ77" s="201"/>
      <c r="EA77" s="201"/>
      <c r="EB77" s="215"/>
      <c r="EC77" s="204">
        <f>21.6-0.72</f>
        <v>20.880000000000003</v>
      </c>
      <c r="ED77" s="204"/>
      <c r="EE77" s="216"/>
      <c r="EF77" s="216"/>
      <c r="EG77" s="204"/>
      <c r="EH77" s="204">
        <f t="shared" si="44"/>
        <v>2217.5</v>
      </c>
      <c r="EI77" s="204"/>
      <c r="EJ77" s="217"/>
      <c r="EK77" s="217"/>
      <c r="EL77" s="217">
        <f t="shared" si="34"/>
        <v>2217.5</v>
      </c>
      <c r="EM77" s="217"/>
      <c r="EN77" s="218">
        <f t="shared" si="41"/>
        <v>46301.400000000009</v>
      </c>
      <c r="EO77" s="218"/>
      <c r="EP77" s="219">
        <f t="shared" si="40"/>
        <v>0</v>
      </c>
      <c r="EQ77" s="219"/>
      <c r="ER77" s="219">
        <f>M77*EE77</f>
        <v>0</v>
      </c>
      <c r="ES77" s="204">
        <v>8612.76</v>
      </c>
      <c r="ET77" s="220">
        <f t="shared" si="18"/>
        <v>-8612.76</v>
      </c>
      <c r="EU77" s="220">
        <f t="shared" si="48"/>
        <v>-1953.0068027210884</v>
      </c>
    </row>
    <row r="78" spans="1:151">
      <c r="A78" s="47">
        <v>68</v>
      </c>
      <c r="B78" s="73" t="s">
        <v>186</v>
      </c>
      <c r="C78" s="73" t="s">
        <v>191</v>
      </c>
      <c r="D78" s="74" t="s">
        <v>155</v>
      </c>
      <c r="E78" s="116" t="s">
        <v>150</v>
      </c>
      <c r="F78" s="80">
        <v>1961</v>
      </c>
      <c r="G78" s="57">
        <v>4</v>
      </c>
      <c r="H78" s="57">
        <v>3</v>
      </c>
      <c r="I78" s="117">
        <v>48</v>
      </c>
      <c r="J78" s="117">
        <v>91</v>
      </c>
      <c r="K78" s="117">
        <v>48</v>
      </c>
      <c r="L78" s="133">
        <f>[1]Поп.45А!H53+[1]Поп.45А!I53</f>
        <v>89</v>
      </c>
      <c r="M78" s="80">
        <f>[1]Поп.45А!E56</f>
        <v>1915.3</v>
      </c>
      <c r="N78" s="80">
        <f>[1]Поп.45А!E57</f>
        <v>86.4</v>
      </c>
      <c r="O78" s="54">
        <f t="shared" si="45"/>
        <v>2001.7</v>
      </c>
      <c r="P78" s="119"/>
      <c r="Q78" s="119"/>
      <c r="R78" s="221">
        <f>[1]Поп.45А!F56</f>
        <v>1228.2</v>
      </c>
      <c r="S78" s="221">
        <f>[1]Поп.45А!F57</f>
        <v>56.2</v>
      </c>
      <c r="T78" s="202">
        <f t="shared" si="46"/>
        <v>1284.4000000000001</v>
      </c>
      <c r="U78" s="80"/>
      <c r="V78" s="80"/>
      <c r="W78" s="78">
        <f t="shared" si="38"/>
        <v>2001.7</v>
      </c>
      <c r="X78" s="76">
        <f t="shared" si="39"/>
        <v>1284.4000000000001</v>
      </c>
      <c r="Y78" s="76">
        <f t="shared" si="36"/>
        <v>2001.7</v>
      </c>
      <c r="Z78" s="76">
        <f t="shared" si="36"/>
        <v>1284.4000000000001</v>
      </c>
      <c r="AA78" s="119"/>
      <c r="AB78" s="119"/>
      <c r="AC78" s="76">
        <f t="shared" si="43"/>
        <v>2001.7</v>
      </c>
      <c r="AD78" s="57">
        <f t="shared" si="43"/>
        <v>1284.4000000000001</v>
      </c>
      <c r="AE78" s="80"/>
      <c r="AF78" s="80"/>
      <c r="AG78" s="80"/>
      <c r="AH78" s="80"/>
      <c r="AI78" s="80"/>
      <c r="AJ78" s="80"/>
      <c r="AK78" s="57">
        <f t="shared" si="37"/>
        <v>2001.7</v>
      </c>
      <c r="AL78" s="57">
        <f t="shared" si="37"/>
        <v>1284.4000000000001</v>
      </c>
      <c r="AM78" s="80"/>
      <c r="AN78" s="80"/>
      <c r="AO78" s="80"/>
      <c r="AP78" s="80"/>
      <c r="AQ78" s="79">
        <f t="shared" si="47"/>
        <v>2001.7</v>
      </c>
      <c r="AR78" s="79">
        <f t="shared" si="47"/>
        <v>1284.4000000000001</v>
      </c>
      <c r="AS78" s="80">
        <v>500.9</v>
      </c>
      <c r="AT78" s="80">
        <v>327.9</v>
      </c>
      <c r="AU78" s="80"/>
      <c r="AV78" s="80"/>
      <c r="AW78" s="80"/>
      <c r="AX78" s="80"/>
      <c r="AY78" s="80">
        <v>11</v>
      </c>
      <c r="AZ78" s="80">
        <v>9770000</v>
      </c>
      <c r="BA78" s="80"/>
      <c r="BB78" s="80"/>
      <c r="BC78" s="80"/>
      <c r="BD78" s="80"/>
      <c r="BE78" s="80"/>
      <c r="BF78" s="80"/>
      <c r="BG78" s="80">
        <v>172</v>
      </c>
      <c r="BH78" s="80"/>
      <c r="BI78" s="80"/>
      <c r="BJ78" s="80"/>
      <c r="BK78" s="57"/>
      <c r="BL78" s="80"/>
      <c r="BM78" s="80"/>
      <c r="BN78" s="80"/>
      <c r="BO78" s="80"/>
      <c r="BP78" s="81">
        <f t="shared" si="42"/>
        <v>646.7962</v>
      </c>
      <c r="BQ78" s="80"/>
      <c r="BR78" s="120"/>
      <c r="BS78" s="83"/>
      <c r="BT78" s="83">
        <v>538.1</v>
      </c>
      <c r="BU78" s="80">
        <v>538.1</v>
      </c>
      <c r="BV78" s="80">
        <v>2499.1999999999998</v>
      </c>
      <c r="BW78" s="80"/>
      <c r="BX78" s="80"/>
      <c r="BY78" s="120"/>
      <c r="BZ78" s="86"/>
      <c r="CA78" s="121"/>
      <c r="CB78" s="86"/>
      <c r="CC78" s="120"/>
      <c r="CD78" s="120"/>
      <c r="CE78" s="120"/>
      <c r="CF78" s="120"/>
      <c r="CG78" s="80"/>
      <c r="CH78" s="117"/>
      <c r="CI78" s="80"/>
      <c r="CJ78" s="80"/>
      <c r="CK78" s="80"/>
      <c r="CL78" s="80"/>
      <c r="CM78" s="80"/>
      <c r="CN78" s="80"/>
      <c r="CO78" s="80"/>
      <c r="CP78" s="80"/>
      <c r="CQ78" s="80"/>
      <c r="CR78" s="120"/>
      <c r="CS78" s="80"/>
      <c r="CT78" s="80"/>
      <c r="CU78" s="80"/>
      <c r="CV78" s="86"/>
      <c r="CW78" s="117"/>
      <c r="CX78" s="117"/>
      <c r="CY78" s="80"/>
      <c r="CZ78" s="80"/>
      <c r="DA78" s="80"/>
      <c r="DB78" s="80"/>
      <c r="DC78" s="120"/>
      <c r="DD78" s="120"/>
      <c r="DE78" s="80"/>
      <c r="DF78" s="80"/>
      <c r="DG78" s="80"/>
      <c r="DH78" s="120"/>
      <c r="DI78" s="80"/>
      <c r="DJ78" s="80"/>
      <c r="DK78" s="80"/>
      <c r="DL78" s="80"/>
      <c r="DM78" s="80"/>
      <c r="DN78" s="117"/>
      <c r="DO78" s="80"/>
      <c r="DP78" s="117"/>
      <c r="DQ78" s="117"/>
      <c r="DR78" s="80"/>
      <c r="DS78" s="120"/>
      <c r="DT78" s="120"/>
      <c r="DU78" s="80"/>
      <c r="DV78" s="86"/>
      <c r="DW78" s="80"/>
      <c r="DX78" s="120"/>
      <c r="DY78" s="80"/>
      <c r="DZ78" s="80"/>
      <c r="EA78" s="80"/>
      <c r="EB78" s="122"/>
      <c r="EC78" s="204">
        <f>21.6-0.72</f>
        <v>20.880000000000003</v>
      </c>
      <c r="ED78" s="88"/>
      <c r="EE78" s="65"/>
      <c r="EF78" s="65"/>
      <c r="EG78" s="88"/>
      <c r="EH78" s="88">
        <f t="shared" si="44"/>
        <v>2001.7</v>
      </c>
      <c r="EI78" s="88"/>
      <c r="EJ78" s="66"/>
      <c r="EK78" s="66"/>
      <c r="EL78" s="66">
        <f t="shared" si="34"/>
        <v>2001.7</v>
      </c>
      <c r="EM78" s="66"/>
      <c r="EN78" s="67">
        <f t="shared" si="41"/>
        <v>41795.496000000006</v>
      </c>
      <c r="EO78" s="67"/>
      <c r="EP78" s="68">
        <f t="shared" si="40"/>
        <v>0</v>
      </c>
      <c r="EQ78" s="68"/>
      <c r="ER78" s="69">
        <f>M78*EE78</f>
        <v>0</v>
      </c>
      <c r="ES78" s="89">
        <v>8463.2900000000009</v>
      </c>
      <c r="ET78" s="71">
        <f t="shared" si="18"/>
        <v>-8463.2900000000009</v>
      </c>
      <c r="EU78" s="71">
        <f t="shared" si="48"/>
        <v>-1919.1133786848075</v>
      </c>
    </row>
    <row r="79" spans="1:151">
      <c r="A79" s="47">
        <v>69</v>
      </c>
      <c r="B79" s="73" t="s">
        <v>192</v>
      </c>
      <c r="C79" s="73">
        <v>27</v>
      </c>
      <c r="D79" s="74" t="s">
        <v>149</v>
      </c>
      <c r="E79" s="116" t="s">
        <v>150</v>
      </c>
      <c r="F79" s="80">
        <v>1979</v>
      </c>
      <c r="G79" s="57">
        <v>5</v>
      </c>
      <c r="H79" s="57">
        <v>6</v>
      </c>
      <c r="I79" s="117">
        <v>90</v>
      </c>
      <c r="J79" s="117">
        <v>204</v>
      </c>
      <c r="K79" s="117">
        <v>90</v>
      </c>
      <c r="L79" s="133">
        <f>'[1]Тихоокеанская 27 '!H95+'[1]Тихоокеанская 27 '!I95</f>
        <v>191</v>
      </c>
      <c r="M79" s="80">
        <v>4095.9</v>
      </c>
      <c r="N79" s="80">
        <v>230.6</v>
      </c>
      <c r="O79" s="54">
        <f t="shared" si="45"/>
        <v>4326.5</v>
      </c>
      <c r="P79" s="119"/>
      <c r="Q79" s="119"/>
      <c r="R79" s="221">
        <v>2806.9</v>
      </c>
      <c r="S79" s="221">
        <v>158</v>
      </c>
      <c r="T79" s="202">
        <f t="shared" si="46"/>
        <v>2964.9</v>
      </c>
      <c r="U79" s="80"/>
      <c r="V79" s="80"/>
      <c r="W79" s="78">
        <f>M79</f>
        <v>4095.9</v>
      </c>
      <c r="X79" s="76">
        <f t="shared" si="39"/>
        <v>2964.9</v>
      </c>
      <c r="Y79" s="76">
        <f t="shared" si="36"/>
        <v>4095.9</v>
      </c>
      <c r="Z79" s="76">
        <f t="shared" si="36"/>
        <v>2964.9</v>
      </c>
      <c r="AA79" s="119"/>
      <c r="AB79" s="119"/>
      <c r="AC79" s="76">
        <f t="shared" si="43"/>
        <v>4095.9</v>
      </c>
      <c r="AD79" s="57">
        <f t="shared" si="43"/>
        <v>2964.9</v>
      </c>
      <c r="AE79" s="80"/>
      <c r="AF79" s="80"/>
      <c r="AG79" s="80"/>
      <c r="AH79" s="80"/>
      <c r="AI79" s="80"/>
      <c r="AJ79" s="80"/>
      <c r="AK79" s="57">
        <f t="shared" si="37"/>
        <v>4095.9</v>
      </c>
      <c r="AL79" s="57">
        <f t="shared" si="37"/>
        <v>2964.9</v>
      </c>
      <c r="AM79" s="80"/>
      <c r="AN79" s="80"/>
      <c r="AO79" s="80"/>
      <c r="AP79" s="80"/>
      <c r="AQ79" s="79"/>
      <c r="AR79" s="79"/>
      <c r="AS79" s="80"/>
      <c r="AT79" s="80"/>
      <c r="AU79" s="80"/>
      <c r="AV79" s="80"/>
      <c r="AW79" s="80"/>
      <c r="AX79" s="80"/>
      <c r="AY79" s="80">
        <v>90</v>
      </c>
      <c r="AZ79" s="80">
        <v>1429600</v>
      </c>
      <c r="BA79" s="80"/>
      <c r="BB79" s="80"/>
      <c r="BC79" s="80"/>
      <c r="BD79" s="80"/>
      <c r="BE79" s="80"/>
      <c r="BF79" s="80"/>
      <c r="BG79" s="80">
        <v>387</v>
      </c>
      <c r="BH79" s="80"/>
      <c r="BI79" s="80"/>
      <c r="BJ79" s="80"/>
      <c r="BK79" s="57"/>
      <c r="BL79" s="80"/>
      <c r="BM79" s="80"/>
      <c r="BN79" s="80"/>
      <c r="BO79" s="80"/>
      <c r="BP79" s="81">
        <f t="shared" si="42"/>
        <v>1042.9754</v>
      </c>
      <c r="BQ79" s="80"/>
      <c r="BR79" s="120"/>
      <c r="BS79" s="83"/>
      <c r="BT79" s="83">
        <v>867.7</v>
      </c>
      <c r="BU79" s="80">
        <v>867.7</v>
      </c>
      <c r="BV79" s="80">
        <v>4496.5</v>
      </c>
      <c r="BW79" s="80"/>
      <c r="BX79" s="80"/>
      <c r="BY79" s="120"/>
      <c r="BZ79" s="86"/>
      <c r="CA79" s="121"/>
      <c r="CB79" s="86"/>
      <c r="CC79" s="120"/>
      <c r="CD79" s="120"/>
      <c r="CE79" s="120"/>
      <c r="CF79" s="120"/>
      <c r="CG79" s="80"/>
      <c r="CH79" s="117"/>
      <c r="CI79" s="80"/>
      <c r="CJ79" s="80"/>
      <c r="CK79" s="80"/>
      <c r="CL79" s="80"/>
      <c r="CM79" s="80"/>
      <c r="CN79" s="80"/>
      <c r="CO79" s="80"/>
      <c r="CP79" s="80"/>
      <c r="CQ79" s="80"/>
      <c r="CR79" s="120"/>
      <c r="CS79" s="80"/>
      <c r="CT79" s="80"/>
      <c r="CU79" s="80"/>
      <c r="CV79" s="86"/>
      <c r="CW79" s="117"/>
      <c r="CX79" s="117"/>
      <c r="CY79" s="80"/>
      <c r="CZ79" s="80"/>
      <c r="DA79" s="80"/>
      <c r="DB79" s="80"/>
      <c r="DC79" s="120"/>
      <c r="DD79" s="120"/>
      <c r="DE79" s="80"/>
      <c r="DF79" s="80"/>
      <c r="DG79" s="80"/>
      <c r="DH79" s="120"/>
      <c r="DI79" s="80"/>
      <c r="DJ79" s="80"/>
      <c r="DK79" s="80"/>
      <c r="DL79" s="80"/>
      <c r="DM79" s="80"/>
      <c r="DN79" s="117"/>
      <c r="DO79" s="80"/>
      <c r="DP79" s="117"/>
      <c r="DQ79" s="117"/>
      <c r="DR79" s="80"/>
      <c r="DS79" s="120"/>
      <c r="DT79" s="120"/>
      <c r="DU79" s="80"/>
      <c r="DV79" s="86"/>
      <c r="DW79" s="80"/>
      <c r="DX79" s="120"/>
      <c r="DY79" s="80"/>
      <c r="DZ79" s="80"/>
      <c r="EA79" s="80"/>
      <c r="EB79" s="122"/>
      <c r="EC79" s="204">
        <f>21.6-0.72</f>
        <v>20.880000000000003</v>
      </c>
      <c r="ED79" s="88"/>
      <c r="EE79" s="65"/>
      <c r="EF79" s="65"/>
      <c r="EG79" s="88"/>
      <c r="EH79" s="88">
        <f t="shared" si="44"/>
        <v>4326.5</v>
      </c>
      <c r="EI79" s="88"/>
      <c r="EJ79" s="66"/>
      <c r="EK79" s="66"/>
      <c r="EL79" s="66">
        <f t="shared" si="34"/>
        <v>4326.5</v>
      </c>
      <c r="EM79" s="66"/>
      <c r="EN79" s="67">
        <f t="shared" si="41"/>
        <v>90337.32</v>
      </c>
      <c r="EO79" s="67"/>
      <c r="EP79" s="68">
        <f t="shared" si="40"/>
        <v>0</v>
      </c>
      <c r="EQ79" s="68"/>
      <c r="ER79" s="69">
        <f>M79*EE79</f>
        <v>0</v>
      </c>
      <c r="ES79" s="89"/>
      <c r="ET79" s="71"/>
      <c r="EU79" s="71"/>
    </row>
    <row r="80" spans="1:151">
      <c r="A80" s="47">
        <v>70</v>
      </c>
      <c r="B80" s="73" t="s">
        <v>193</v>
      </c>
      <c r="C80" s="73" t="s">
        <v>161</v>
      </c>
      <c r="D80" s="74" t="s">
        <v>151</v>
      </c>
      <c r="E80" s="116" t="s">
        <v>150</v>
      </c>
      <c r="F80" s="80">
        <v>2011</v>
      </c>
      <c r="G80" s="57">
        <v>10</v>
      </c>
      <c r="H80" s="57">
        <v>1</v>
      </c>
      <c r="I80" s="117">
        <v>35</v>
      </c>
      <c r="J80" s="117">
        <v>64</v>
      </c>
      <c r="K80" s="117">
        <v>35</v>
      </c>
      <c r="L80" s="133">
        <f>'[1]Фабричная 14А'!H41+'[1]Фабричная 14А'!I41</f>
        <v>39</v>
      </c>
      <c r="M80" s="80">
        <f>'[1]Фабричная 14А'!E44</f>
        <v>2776.8</v>
      </c>
      <c r="N80" s="80">
        <f>'[1]Фабричная 14А'!E45</f>
        <v>0</v>
      </c>
      <c r="O80" s="54">
        <f t="shared" si="45"/>
        <v>2776.8</v>
      </c>
      <c r="P80" s="119"/>
      <c r="Q80" s="119"/>
      <c r="R80" s="221">
        <f>'[1]Фабричная 14А'!F44</f>
        <v>1441.6999999999994</v>
      </c>
      <c r="S80" s="221">
        <f>'[1]Фабричная 14А'!F45</f>
        <v>0</v>
      </c>
      <c r="T80" s="202">
        <f t="shared" si="46"/>
        <v>1441.6999999999994</v>
      </c>
      <c r="U80" s="80"/>
      <c r="V80" s="80"/>
      <c r="W80" s="78">
        <f>M80</f>
        <v>2776.8</v>
      </c>
      <c r="X80" s="76">
        <f t="shared" si="39"/>
        <v>1441.6999999999994</v>
      </c>
      <c r="Y80" s="76">
        <f t="shared" si="36"/>
        <v>2776.8</v>
      </c>
      <c r="Z80" s="76">
        <f t="shared" si="36"/>
        <v>1441.6999999999994</v>
      </c>
      <c r="AA80" s="119"/>
      <c r="AB80" s="119"/>
      <c r="AC80" s="76">
        <f t="shared" si="43"/>
        <v>2776.8</v>
      </c>
      <c r="AD80" s="57">
        <f t="shared" si="43"/>
        <v>1441.6999999999994</v>
      </c>
      <c r="AE80" s="80"/>
      <c r="AF80" s="80"/>
      <c r="AG80" s="80"/>
      <c r="AH80" s="80"/>
      <c r="AI80" s="80"/>
      <c r="AJ80" s="80"/>
      <c r="AK80" s="57">
        <v>2776.8</v>
      </c>
      <c r="AL80" s="57">
        <v>1441.7</v>
      </c>
      <c r="AM80" s="80"/>
      <c r="AN80" s="80"/>
      <c r="AO80" s="80">
        <v>2776.8</v>
      </c>
      <c r="AP80" s="80">
        <v>1441.7</v>
      </c>
      <c r="AQ80" s="79"/>
      <c r="AR80" s="79"/>
      <c r="AS80" s="80"/>
      <c r="AT80" s="80"/>
      <c r="AU80" s="80">
        <f>AO80</f>
        <v>2776.8</v>
      </c>
      <c r="AV80" s="80">
        <f>AP80</f>
        <v>1441.7</v>
      </c>
      <c r="AW80" s="80"/>
      <c r="AX80" s="80"/>
      <c r="AY80" s="80"/>
      <c r="AZ80" s="80"/>
      <c r="BA80" s="80"/>
      <c r="BB80" s="80">
        <v>631.5</v>
      </c>
      <c r="BC80" s="80"/>
      <c r="BD80" s="80">
        <v>74.3</v>
      </c>
      <c r="BE80" s="80"/>
      <c r="BF80" s="80"/>
      <c r="BG80" s="80">
        <v>294.5</v>
      </c>
      <c r="BH80" s="80"/>
      <c r="BI80" s="80"/>
      <c r="BJ80" s="80"/>
      <c r="BK80" s="57"/>
      <c r="BL80" s="80"/>
      <c r="BM80" s="80"/>
      <c r="BN80" s="80"/>
      <c r="BO80" s="80"/>
      <c r="BP80" s="81">
        <f t="shared" si="42"/>
        <v>404.59320000000002</v>
      </c>
      <c r="BQ80" s="80"/>
      <c r="BR80" s="120"/>
      <c r="BS80" s="83">
        <f>BP80</f>
        <v>404.59320000000002</v>
      </c>
      <c r="BT80" s="83">
        <v>336.6</v>
      </c>
      <c r="BU80" s="80">
        <v>0</v>
      </c>
      <c r="BV80" s="80">
        <v>2209.35</v>
      </c>
      <c r="BW80" s="80"/>
      <c r="BX80" s="80"/>
      <c r="BY80" s="120"/>
      <c r="BZ80" s="86"/>
      <c r="CA80" s="121"/>
      <c r="CB80" s="86"/>
      <c r="CC80" s="120"/>
      <c r="CD80" s="120"/>
      <c r="CE80" s="120"/>
      <c r="CF80" s="120"/>
      <c r="CG80" s="80"/>
      <c r="CH80" s="117"/>
      <c r="CI80" s="80"/>
      <c r="CJ80" s="80"/>
      <c r="CK80" s="80"/>
      <c r="CL80" s="80"/>
      <c r="CM80" s="80"/>
      <c r="CN80" s="80"/>
      <c r="CO80" s="80"/>
      <c r="CP80" s="80"/>
      <c r="CQ80" s="80"/>
      <c r="CR80" s="120"/>
      <c r="CS80" s="80"/>
      <c r="CT80" s="80"/>
      <c r="CU80" s="80"/>
      <c r="CV80" s="86"/>
      <c r="CW80" s="117"/>
      <c r="CX80" s="117"/>
      <c r="CY80" s="80"/>
      <c r="CZ80" s="80"/>
      <c r="DA80" s="80"/>
      <c r="DB80" s="80"/>
      <c r="DC80" s="120"/>
      <c r="DD80" s="120"/>
      <c r="DE80" s="80"/>
      <c r="DF80" s="80"/>
      <c r="DG80" s="80"/>
      <c r="DH80" s="120"/>
      <c r="DI80" s="80"/>
      <c r="DJ80" s="80"/>
      <c r="DK80" s="80"/>
      <c r="DL80" s="80"/>
      <c r="DM80" s="80"/>
      <c r="DN80" s="117"/>
      <c r="DO80" s="80"/>
      <c r="DP80" s="117"/>
      <c r="DQ80" s="117"/>
      <c r="DR80" s="80"/>
      <c r="DS80" s="120"/>
      <c r="DT80" s="120"/>
      <c r="DU80" s="80"/>
      <c r="DV80" s="86"/>
      <c r="DW80" s="80"/>
      <c r="DX80" s="120"/>
      <c r="DY80" s="80"/>
      <c r="DZ80" s="80"/>
      <c r="EA80" s="80"/>
      <c r="EB80" s="122"/>
      <c r="EC80" s="88">
        <f>26.64-0.72</f>
        <v>25.92</v>
      </c>
      <c r="ED80" s="88"/>
      <c r="EE80" s="65"/>
      <c r="EF80" s="65"/>
      <c r="EG80" s="88"/>
      <c r="EH80" s="88">
        <f t="shared" si="44"/>
        <v>2776.8</v>
      </c>
      <c r="EI80" s="88"/>
      <c r="EJ80" s="66"/>
      <c r="EK80" s="66"/>
      <c r="EL80" s="66">
        <f t="shared" si="34"/>
        <v>2776.8</v>
      </c>
      <c r="EM80" s="66"/>
      <c r="EN80" s="67">
        <f t="shared" si="41"/>
        <v>71974.656000000003</v>
      </c>
      <c r="EO80" s="67"/>
      <c r="EP80" s="68">
        <f t="shared" si="40"/>
        <v>0</v>
      </c>
      <c r="EQ80" s="68"/>
      <c r="ER80" s="69"/>
      <c r="ES80" s="89"/>
      <c r="ET80" s="71"/>
      <c r="EU80" s="71"/>
    </row>
    <row r="81" spans="1:151">
      <c r="A81" s="47">
        <v>71</v>
      </c>
      <c r="B81" s="73" t="s">
        <v>194</v>
      </c>
      <c r="C81" s="73">
        <v>43</v>
      </c>
      <c r="D81" s="74" t="s">
        <v>149</v>
      </c>
      <c r="E81" s="116" t="s">
        <v>150</v>
      </c>
      <c r="F81" s="80">
        <v>1993</v>
      </c>
      <c r="G81" s="57">
        <v>9</v>
      </c>
      <c r="H81" s="57">
        <v>3</v>
      </c>
      <c r="I81" s="117">
        <v>104</v>
      </c>
      <c r="J81" s="117">
        <f>'[1]Емельянова 43'!I110</f>
        <v>263</v>
      </c>
      <c r="K81" s="117">
        <v>104</v>
      </c>
      <c r="L81" s="133">
        <f>'[1]Емельянова 43'!G110+'[1]Емельянова 43'!H110</f>
        <v>0</v>
      </c>
      <c r="M81" s="80">
        <f>'[1]Емельянова 43'!E113</f>
        <v>6255.4999999999991</v>
      </c>
      <c r="N81" s="80">
        <v>0</v>
      </c>
      <c r="O81" s="54">
        <f t="shared" si="45"/>
        <v>6255.4999999999991</v>
      </c>
      <c r="P81" s="119"/>
      <c r="Q81" s="119"/>
      <c r="R81" s="221">
        <f>'[1]Емельянова 43'!F113</f>
        <v>3672.1000000000026</v>
      </c>
      <c r="S81" s="221">
        <v>0</v>
      </c>
      <c r="T81" s="202">
        <f t="shared" si="46"/>
        <v>3672.1000000000026</v>
      </c>
      <c r="U81" s="80"/>
      <c r="V81" s="80"/>
      <c r="W81" s="78">
        <f>O81</f>
        <v>6255.4999999999991</v>
      </c>
      <c r="X81" s="76">
        <f>T81</f>
        <v>3672.1000000000026</v>
      </c>
      <c r="Y81" s="76">
        <f>W81</f>
        <v>6255.4999999999991</v>
      </c>
      <c r="Z81" s="76">
        <f t="shared" si="36"/>
        <v>3672.1000000000026</v>
      </c>
      <c r="AA81" s="119"/>
      <c r="AB81" s="119"/>
      <c r="AC81" s="76">
        <f t="shared" si="43"/>
        <v>6255.4999999999991</v>
      </c>
      <c r="AD81" s="57">
        <f t="shared" si="43"/>
        <v>3672.1000000000026</v>
      </c>
      <c r="AE81" s="80"/>
      <c r="AF81" s="80"/>
      <c r="AG81" s="80"/>
      <c r="AH81" s="80"/>
      <c r="AI81" s="80"/>
      <c r="AJ81" s="80"/>
      <c r="AK81" s="57">
        <f>AC81</f>
        <v>6255.4999999999991</v>
      </c>
      <c r="AL81" s="57">
        <f>AD81</f>
        <v>3672.1000000000026</v>
      </c>
      <c r="AM81" s="80"/>
      <c r="AN81" s="80"/>
      <c r="AO81" s="80"/>
      <c r="AP81" s="80"/>
      <c r="AQ81" s="79">
        <f>AK81</f>
        <v>6255.4999999999991</v>
      </c>
      <c r="AR81" s="79">
        <f>AL81</f>
        <v>3672.1000000000026</v>
      </c>
      <c r="AS81" s="80"/>
      <c r="AT81" s="80"/>
      <c r="AU81" s="80">
        <f>AK81</f>
        <v>6255.4999999999991</v>
      </c>
      <c r="AV81" s="80">
        <f>AL81</f>
        <v>3672.1000000000026</v>
      </c>
      <c r="AW81" s="80"/>
      <c r="AX81" s="80"/>
      <c r="AY81" s="80"/>
      <c r="AZ81" s="80"/>
      <c r="BA81" s="80"/>
      <c r="BB81" s="80">
        <v>93.5</v>
      </c>
      <c r="BC81" s="80"/>
      <c r="BD81" s="80"/>
      <c r="BE81" s="80"/>
      <c r="BF81" s="80"/>
      <c r="BG81" s="80">
        <v>1024.0999999999999</v>
      </c>
      <c r="BH81" s="80"/>
      <c r="BI81" s="80"/>
      <c r="BJ81" s="80"/>
      <c r="BK81" s="57"/>
      <c r="BL81" s="80"/>
      <c r="BM81" s="80"/>
      <c r="BN81" s="80"/>
      <c r="BO81" s="80"/>
      <c r="BP81" s="81">
        <f t="shared" si="42"/>
        <v>955.83040000000005</v>
      </c>
      <c r="BQ81" s="80"/>
      <c r="BR81" s="120"/>
      <c r="BS81" s="83">
        <f>BP81</f>
        <v>955.83040000000005</v>
      </c>
      <c r="BT81" s="83">
        <v>795.2</v>
      </c>
      <c r="BU81" s="80">
        <v>795.2</v>
      </c>
      <c r="BV81" s="80">
        <v>4206.6000000000004</v>
      </c>
      <c r="BW81" s="80"/>
      <c r="BX81" s="80"/>
      <c r="BY81" s="120"/>
      <c r="BZ81" s="86"/>
      <c r="CA81" s="121"/>
      <c r="CB81" s="86"/>
      <c r="CC81" s="120"/>
      <c r="CD81" s="120"/>
      <c r="CE81" s="120"/>
      <c r="CF81" s="120"/>
      <c r="CG81" s="80"/>
      <c r="CH81" s="117"/>
      <c r="CI81" s="80"/>
      <c r="CJ81" s="80"/>
      <c r="CK81" s="80"/>
      <c r="CL81" s="80"/>
      <c r="CM81" s="80"/>
      <c r="CN81" s="80"/>
      <c r="CO81" s="80"/>
      <c r="CP81" s="80"/>
      <c r="CQ81" s="80"/>
      <c r="CR81" s="120"/>
      <c r="CS81" s="80"/>
      <c r="CT81" s="80"/>
      <c r="CU81" s="80"/>
      <c r="CV81" s="86"/>
      <c r="CW81" s="117"/>
      <c r="CX81" s="117"/>
      <c r="CY81" s="80"/>
      <c r="CZ81" s="80"/>
      <c r="DA81" s="80"/>
      <c r="DB81" s="80"/>
      <c r="DC81" s="120"/>
      <c r="DD81" s="120"/>
      <c r="DE81" s="80"/>
      <c r="DF81" s="80"/>
      <c r="DG81" s="80"/>
      <c r="DH81" s="120"/>
      <c r="DI81" s="80"/>
      <c r="DJ81" s="80"/>
      <c r="DK81" s="80"/>
      <c r="DL81" s="80"/>
      <c r="DM81" s="80"/>
      <c r="DN81" s="117"/>
      <c r="DO81" s="80"/>
      <c r="DP81" s="117"/>
      <c r="DQ81" s="117"/>
      <c r="DR81" s="80"/>
      <c r="DS81" s="120"/>
      <c r="DT81" s="120"/>
      <c r="DU81" s="80"/>
      <c r="DV81" s="86"/>
      <c r="DW81" s="80"/>
      <c r="DX81" s="120"/>
      <c r="DY81" s="80"/>
      <c r="DZ81" s="80"/>
      <c r="EA81" s="80"/>
      <c r="EB81" s="122"/>
      <c r="EC81" s="88">
        <v>35.76</v>
      </c>
      <c r="ED81" s="88"/>
      <c r="EE81" s="65"/>
      <c r="EF81" s="65"/>
      <c r="EG81" s="88"/>
      <c r="EH81" s="88"/>
      <c r="EI81" s="88"/>
      <c r="EJ81" s="66"/>
      <c r="EK81" s="66"/>
      <c r="EL81" s="66"/>
      <c r="EM81" s="66"/>
      <c r="EN81" s="67"/>
      <c r="EO81" s="67"/>
      <c r="EP81" s="68"/>
      <c r="EQ81" s="68"/>
      <c r="ER81" s="69"/>
      <c r="ES81" s="89"/>
      <c r="ET81" s="71"/>
      <c r="EU81" s="71"/>
    </row>
    <row r="82" spans="1:151">
      <c r="A82" s="47">
        <v>72</v>
      </c>
      <c r="B82" s="73" t="s">
        <v>195</v>
      </c>
      <c r="C82" s="73">
        <v>120</v>
      </c>
      <c r="D82" s="74" t="s">
        <v>155</v>
      </c>
      <c r="E82" s="116" t="s">
        <v>150</v>
      </c>
      <c r="F82" s="57">
        <v>1959</v>
      </c>
      <c r="G82" s="57">
        <v>4</v>
      </c>
      <c r="H82" s="57">
        <v>2</v>
      </c>
      <c r="I82" s="75">
        <v>32</v>
      </c>
      <c r="J82" s="75">
        <v>56</v>
      </c>
      <c r="K82" s="75">
        <v>32</v>
      </c>
      <c r="L82" s="133">
        <f>[1]Физк.120!H37+[1]Физк.120!I37</f>
        <v>62</v>
      </c>
      <c r="M82" s="57">
        <f>[1]Физк.120!E40</f>
        <v>1176.0999999999999</v>
      </c>
      <c r="N82" s="57">
        <f>[1]Физк.120!E41</f>
        <v>83.9</v>
      </c>
      <c r="O82" s="54">
        <f t="shared" si="45"/>
        <v>1260</v>
      </c>
      <c r="P82" s="76"/>
      <c r="Q82" s="76"/>
      <c r="R82" s="77">
        <f>[1]Физк.120!F40</f>
        <v>754.9</v>
      </c>
      <c r="S82" s="77">
        <f>[1]Физк.120!F41</f>
        <v>54.3</v>
      </c>
      <c r="T82" s="57">
        <f t="shared" si="46"/>
        <v>809.19999999999993</v>
      </c>
      <c r="U82" s="57"/>
      <c r="V82" s="57"/>
      <c r="W82" s="78">
        <f t="shared" si="38"/>
        <v>1260</v>
      </c>
      <c r="X82" s="76">
        <f t="shared" si="39"/>
        <v>809.19999999999993</v>
      </c>
      <c r="Y82" s="76">
        <f t="shared" ref="Y82:Z89" si="49">W82</f>
        <v>1260</v>
      </c>
      <c r="Z82" s="76">
        <f t="shared" si="49"/>
        <v>809.19999999999993</v>
      </c>
      <c r="AA82" s="76"/>
      <c r="AB82" s="76"/>
      <c r="AC82" s="76">
        <f t="shared" si="43"/>
        <v>1260</v>
      </c>
      <c r="AD82" s="57">
        <f t="shared" si="43"/>
        <v>809.19999999999993</v>
      </c>
      <c r="AE82" s="57"/>
      <c r="AF82" s="57"/>
      <c r="AG82" s="57"/>
      <c r="AH82" s="57"/>
      <c r="AI82" s="57"/>
      <c r="AJ82" s="57"/>
      <c r="AK82" s="57">
        <f t="shared" ref="AK82:AL89" si="50">Y82</f>
        <v>1260</v>
      </c>
      <c r="AL82" s="57">
        <f t="shared" si="50"/>
        <v>809.19999999999993</v>
      </c>
      <c r="AM82" s="57"/>
      <c r="AN82" s="57"/>
      <c r="AO82" s="57"/>
      <c r="AP82" s="57"/>
      <c r="AQ82" s="79">
        <f t="shared" si="47"/>
        <v>1260</v>
      </c>
      <c r="AR82" s="79">
        <f t="shared" si="47"/>
        <v>809.19999999999993</v>
      </c>
      <c r="AS82" s="57">
        <v>291.7</v>
      </c>
      <c r="AT82" s="57">
        <v>192.6</v>
      </c>
      <c r="AU82" s="57"/>
      <c r="AV82" s="57"/>
      <c r="AW82" s="57"/>
      <c r="AX82" s="57"/>
      <c r="AY82" s="57">
        <v>7</v>
      </c>
      <c r="AZ82" s="57">
        <v>5140000</v>
      </c>
      <c r="BA82" s="57"/>
      <c r="BB82" s="57"/>
      <c r="BC82" s="57"/>
      <c r="BD82" s="57"/>
      <c r="BE82" s="57"/>
      <c r="BF82" s="57"/>
      <c r="BG82" s="57">
        <v>113</v>
      </c>
      <c r="BH82" s="57"/>
      <c r="BI82" s="57"/>
      <c r="BJ82" s="57"/>
      <c r="BK82" s="80"/>
      <c r="BL82" s="57"/>
      <c r="BM82" s="57"/>
      <c r="BN82" s="57"/>
      <c r="BO82" s="57"/>
      <c r="BP82" s="81">
        <f t="shared" si="42"/>
        <v>380.91379999999998</v>
      </c>
      <c r="BQ82" s="57"/>
      <c r="BR82" s="82"/>
      <c r="BS82" s="83"/>
      <c r="BT82" s="83">
        <v>316.89999999999998</v>
      </c>
      <c r="BU82" s="57">
        <v>316.89999999999998</v>
      </c>
      <c r="BV82" s="57">
        <v>1052.1500000000001</v>
      </c>
      <c r="BW82" s="57"/>
      <c r="BX82" s="57"/>
      <c r="BY82" s="82"/>
      <c r="BZ82" s="84"/>
      <c r="CA82" s="84"/>
      <c r="CB82" s="84"/>
      <c r="CC82" s="85"/>
      <c r="CD82" s="85"/>
      <c r="CE82" s="85"/>
      <c r="CF82" s="85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6"/>
      <c r="CW82" s="86"/>
      <c r="CX82" s="80"/>
      <c r="CY82" s="80"/>
      <c r="CZ82" s="80"/>
      <c r="DA82" s="80"/>
      <c r="DB82" s="80"/>
      <c r="DC82" s="80"/>
      <c r="DD82" s="80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7"/>
      <c r="EC82" s="88">
        <f>21.6-0.72</f>
        <v>20.880000000000003</v>
      </c>
      <c r="ED82" s="88"/>
      <c r="EE82" s="65"/>
      <c r="EF82" s="65"/>
      <c r="EG82" s="88"/>
      <c r="EH82" s="88">
        <v>1260.4000000000001</v>
      </c>
      <c r="EI82" s="88"/>
      <c r="EJ82" s="66"/>
      <c r="EK82" s="66"/>
      <c r="EL82" s="66">
        <f t="shared" ref="EL82:EL89" si="51">O82-EJ82+EI82</f>
        <v>1260</v>
      </c>
      <c r="EM82" s="66"/>
      <c r="EN82" s="67">
        <f t="shared" si="41"/>
        <v>26317.152000000006</v>
      </c>
      <c r="EO82" s="67"/>
      <c r="EP82" s="68">
        <f t="shared" si="40"/>
        <v>0</v>
      </c>
      <c r="EQ82" s="68"/>
      <c r="ER82" s="69">
        <f>M82*EE82</f>
        <v>0</v>
      </c>
      <c r="ES82" s="89">
        <v>5188.37</v>
      </c>
      <c r="ET82" s="71">
        <f>ER82-ES82</f>
        <v>-5188.37</v>
      </c>
      <c r="EU82" s="71">
        <f t="shared" si="48"/>
        <v>-1176.501133786848</v>
      </c>
    </row>
    <row r="83" spans="1:151">
      <c r="A83" s="47">
        <v>73</v>
      </c>
      <c r="B83" s="73" t="s">
        <v>195</v>
      </c>
      <c r="C83" s="73">
        <v>122</v>
      </c>
      <c r="D83" s="74" t="s">
        <v>155</v>
      </c>
      <c r="E83" s="116" t="s">
        <v>150</v>
      </c>
      <c r="F83" s="80">
        <v>1958</v>
      </c>
      <c r="G83" s="57">
        <v>4</v>
      </c>
      <c r="H83" s="57">
        <v>2</v>
      </c>
      <c r="I83" s="117">
        <v>32</v>
      </c>
      <c r="J83" s="117">
        <v>72</v>
      </c>
      <c r="K83" s="117">
        <v>33</v>
      </c>
      <c r="L83" s="133">
        <f>[1]Физк.122!H39+[1]Физк.122!I39</f>
        <v>62</v>
      </c>
      <c r="M83" s="80">
        <v>1609.2</v>
      </c>
      <c r="N83" s="80">
        <f>[1]Физк.122!E43</f>
        <v>142.6</v>
      </c>
      <c r="O83" s="54">
        <f t="shared" si="45"/>
        <v>1751.8</v>
      </c>
      <c r="P83" s="119"/>
      <c r="Q83" s="119"/>
      <c r="R83" s="221">
        <f>[1]Физк.122!F42</f>
        <v>975.19999999999993</v>
      </c>
      <c r="S83" s="221">
        <f>[1]Физк.122!F43</f>
        <v>89</v>
      </c>
      <c r="T83" s="57">
        <f t="shared" si="46"/>
        <v>1064.1999999999998</v>
      </c>
      <c r="U83" s="80"/>
      <c r="V83" s="80"/>
      <c r="W83" s="78">
        <f t="shared" si="38"/>
        <v>1751.8</v>
      </c>
      <c r="X83" s="76">
        <f t="shared" si="39"/>
        <v>1064.1999999999998</v>
      </c>
      <c r="Y83" s="76">
        <f t="shared" si="49"/>
        <v>1751.8</v>
      </c>
      <c r="Z83" s="76">
        <f t="shared" si="49"/>
        <v>1064.1999999999998</v>
      </c>
      <c r="AA83" s="119"/>
      <c r="AB83" s="119"/>
      <c r="AC83" s="76">
        <f t="shared" si="43"/>
        <v>1751.8</v>
      </c>
      <c r="AD83" s="57">
        <f t="shared" si="43"/>
        <v>1064.1999999999998</v>
      </c>
      <c r="AE83" s="80"/>
      <c r="AF83" s="80"/>
      <c r="AG83" s="80"/>
      <c r="AH83" s="80"/>
      <c r="AI83" s="80"/>
      <c r="AJ83" s="80"/>
      <c r="AK83" s="57">
        <f t="shared" si="50"/>
        <v>1751.8</v>
      </c>
      <c r="AL83" s="57">
        <f t="shared" si="50"/>
        <v>1064.1999999999998</v>
      </c>
      <c r="AM83" s="80"/>
      <c r="AN83" s="80"/>
      <c r="AO83" s="80"/>
      <c r="AP83" s="80"/>
      <c r="AQ83" s="79">
        <f t="shared" si="47"/>
        <v>1751.8</v>
      </c>
      <c r="AR83" s="79">
        <f t="shared" si="47"/>
        <v>1064.1999999999998</v>
      </c>
      <c r="AS83" s="80">
        <v>960.3</v>
      </c>
      <c r="AT83" s="80">
        <v>583.79999999999995</v>
      </c>
      <c r="AU83" s="80"/>
      <c r="AV83" s="80"/>
      <c r="AW83" s="80"/>
      <c r="AX83" s="80"/>
      <c r="AY83" s="80">
        <v>18</v>
      </c>
      <c r="AZ83" s="80">
        <v>7349000</v>
      </c>
      <c r="BA83" s="80"/>
      <c r="BB83" s="80"/>
      <c r="BC83" s="80"/>
      <c r="BD83" s="80">
        <v>0</v>
      </c>
      <c r="BE83" s="80"/>
      <c r="BF83" s="80"/>
      <c r="BG83" s="80">
        <v>123.4</v>
      </c>
      <c r="BH83" s="80"/>
      <c r="BI83" s="80"/>
      <c r="BJ83" s="80"/>
      <c r="BK83" s="57"/>
      <c r="BL83" s="80"/>
      <c r="BM83" s="80"/>
      <c r="BN83" s="80"/>
      <c r="BO83" s="80"/>
      <c r="BP83" s="81">
        <f t="shared" si="42"/>
        <v>514.81659999999999</v>
      </c>
      <c r="BQ83" s="80"/>
      <c r="BR83" s="120"/>
      <c r="BS83" s="83"/>
      <c r="BT83" s="83">
        <v>428.3</v>
      </c>
      <c r="BU83" s="80">
        <v>428.3</v>
      </c>
      <c r="BV83" s="80">
        <v>482.58</v>
      </c>
      <c r="BW83" s="80"/>
      <c r="BX83" s="80"/>
      <c r="BY83" s="120"/>
      <c r="BZ83" s="86"/>
      <c r="CA83" s="121"/>
      <c r="CB83" s="86"/>
      <c r="CC83" s="120"/>
      <c r="CD83" s="120"/>
      <c r="CE83" s="120"/>
      <c r="CF83" s="120"/>
      <c r="CG83" s="80"/>
      <c r="CH83" s="117"/>
      <c r="CI83" s="80"/>
      <c r="CJ83" s="80"/>
      <c r="CK83" s="80"/>
      <c r="CL83" s="80"/>
      <c r="CM83" s="80"/>
      <c r="CN83" s="80"/>
      <c r="CO83" s="80"/>
      <c r="CP83" s="80"/>
      <c r="CQ83" s="80"/>
      <c r="CR83" s="120"/>
      <c r="CS83" s="80"/>
      <c r="CT83" s="80"/>
      <c r="CU83" s="80"/>
      <c r="CV83" s="86"/>
      <c r="CW83" s="117"/>
      <c r="CX83" s="117"/>
      <c r="CY83" s="80"/>
      <c r="CZ83" s="80"/>
      <c r="DA83" s="80"/>
      <c r="DB83" s="80"/>
      <c r="DC83" s="120"/>
      <c r="DD83" s="120"/>
      <c r="DE83" s="80"/>
      <c r="DF83" s="80"/>
      <c r="DG83" s="80"/>
      <c r="DH83" s="120"/>
      <c r="DI83" s="80"/>
      <c r="DJ83" s="80"/>
      <c r="DK83" s="80"/>
      <c r="DL83" s="80"/>
      <c r="DM83" s="80"/>
      <c r="DN83" s="117"/>
      <c r="DO83" s="80"/>
      <c r="DP83" s="117"/>
      <c r="DQ83" s="117"/>
      <c r="DR83" s="80"/>
      <c r="DS83" s="120"/>
      <c r="DT83" s="120"/>
      <c r="DU83" s="80"/>
      <c r="DV83" s="86"/>
      <c r="DW83" s="80"/>
      <c r="DX83" s="120"/>
      <c r="DY83" s="80"/>
      <c r="DZ83" s="80"/>
      <c r="EA83" s="80"/>
      <c r="EB83" s="122"/>
      <c r="EC83" s="88">
        <f t="shared" ref="EC83:EC88" si="52">21.6-0.72</f>
        <v>20.880000000000003</v>
      </c>
      <c r="ED83" s="88"/>
      <c r="EE83" s="65"/>
      <c r="EF83" s="65"/>
      <c r="EG83" s="88"/>
      <c r="EH83" s="88">
        <v>1688.7</v>
      </c>
      <c r="EI83" s="88"/>
      <c r="EJ83" s="66"/>
      <c r="EK83" s="66"/>
      <c r="EL83" s="66">
        <f t="shared" si="51"/>
        <v>1751.8</v>
      </c>
      <c r="EM83" s="66"/>
      <c r="EN83" s="67">
        <f t="shared" si="41"/>
        <v>35260.056000000004</v>
      </c>
      <c r="EO83" s="67"/>
      <c r="EP83" s="68">
        <f t="shared" si="40"/>
        <v>0</v>
      </c>
      <c r="EQ83" s="68"/>
      <c r="ER83" s="69"/>
      <c r="ES83" s="222"/>
      <c r="ET83" s="71">
        <f t="shared" si="18"/>
        <v>0</v>
      </c>
      <c r="EU83" s="71">
        <f t="shared" si="48"/>
        <v>0</v>
      </c>
    </row>
    <row r="84" spans="1:151">
      <c r="A84" s="47">
        <v>74</v>
      </c>
      <c r="B84" s="73" t="s">
        <v>195</v>
      </c>
      <c r="C84" s="73">
        <v>124</v>
      </c>
      <c r="D84" s="74" t="s">
        <v>155</v>
      </c>
      <c r="E84" s="116" t="s">
        <v>150</v>
      </c>
      <c r="F84" s="57">
        <v>1958</v>
      </c>
      <c r="G84" s="57">
        <v>4</v>
      </c>
      <c r="H84" s="57">
        <v>2</v>
      </c>
      <c r="I84" s="75">
        <v>32</v>
      </c>
      <c r="J84" s="75">
        <v>72</v>
      </c>
      <c r="K84" s="75">
        <v>32</v>
      </c>
      <c r="L84" s="133">
        <f>[1]Физк.124!H37+[1]Физк.124!I37</f>
        <v>60</v>
      </c>
      <c r="M84" s="57">
        <v>1573.2</v>
      </c>
      <c r="N84" s="57">
        <v>149.69999999999999</v>
      </c>
      <c r="O84" s="54">
        <f t="shared" si="45"/>
        <v>1722.9</v>
      </c>
      <c r="P84" s="76"/>
      <c r="Q84" s="76"/>
      <c r="R84" s="77">
        <v>955.4</v>
      </c>
      <c r="S84" s="77">
        <v>89.3</v>
      </c>
      <c r="T84" s="57">
        <f t="shared" si="46"/>
        <v>1044.7</v>
      </c>
      <c r="U84" s="57"/>
      <c r="V84" s="57"/>
      <c r="W84" s="78">
        <f t="shared" si="38"/>
        <v>1722.9</v>
      </c>
      <c r="X84" s="76">
        <f t="shared" si="39"/>
        <v>1044.7</v>
      </c>
      <c r="Y84" s="76">
        <f t="shared" si="49"/>
        <v>1722.9</v>
      </c>
      <c r="Z84" s="76">
        <f t="shared" si="49"/>
        <v>1044.7</v>
      </c>
      <c r="AA84" s="76"/>
      <c r="AB84" s="76"/>
      <c r="AC84" s="76">
        <f t="shared" si="43"/>
        <v>1722.9</v>
      </c>
      <c r="AD84" s="57">
        <f t="shared" si="43"/>
        <v>1044.7</v>
      </c>
      <c r="AE84" s="57"/>
      <c r="AF84" s="57"/>
      <c r="AG84" s="57"/>
      <c r="AH84" s="57"/>
      <c r="AI84" s="57"/>
      <c r="AJ84" s="57"/>
      <c r="AK84" s="57">
        <f t="shared" si="50"/>
        <v>1722.9</v>
      </c>
      <c r="AL84" s="57">
        <f t="shared" si="50"/>
        <v>1044.7</v>
      </c>
      <c r="AM84" s="57"/>
      <c r="AN84" s="57"/>
      <c r="AO84" s="57"/>
      <c r="AP84" s="57"/>
      <c r="AQ84" s="79">
        <f t="shared" si="47"/>
        <v>1722.9</v>
      </c>
      <c r="AR84" s="79">
        <f t="shared" si="47"/>
        <v>1044.7</v>
      </c>
      <c r="AS84" s="57">
        <v>440.2</v>
      </c>
      <c r="AT84" s="57">
        <v>276.8</v>
      </c>
      <c r="AU84" s="57"/>
      <c r="AV84" s="57"/>
      <c r="AW84" s="57"/>
      <c r="AX84" s="57"/>
      <c r="AY84" s="57">
        <v>9</v>
      </c>
      <c r="AZ84" s="57">
        <v>7269000</v>
      </c>
      <c r="BA84" s="57"/>
      <c r="BB84" s="57"/>
      <c r="BC84" s="57"/>
      <c r="BD84" s="57"/>
      <c r="BE84" s="57"/>
      <c r="BF84" s="57"/>
      <c r="BG84" s="57">
        <v>198.6</v>
      </c>
      <c r="BH84" s="57"/>
      <c r="BI84" s="57"/>
      <c r="BJ84" s="57"/>
      <c r="BK84" s="57"/>
      <c r="BL84" s="57"/>
      <c r="BM84" s="57"/>
      <c r="BN84" s="57"/>
      <c r="BO84" s="57"/>
      <c r="BP84" s="81">
        <f t="shared" si="42"/>
        <v>563.37739999999997</v>
      </c>
      <c r="BQ84" s="57"/>
      <c r="BR84" s="82"/>
      <c r="BS84" s="83"/>
      <c r="BT84" s="83">
        <v>468.7</v>
      </c>
      <c r="BU84" s="57">
        <v>468.7</v>
      </c>
      <c r="BV84" s="57">
        <v>797.75</v>
      </c>
      <c r="BW84" s="57"/>
      <c r="BX84" s="57"/>
      <c r="BY84" s="82"/>
      <c r="BZ84" s="57"/>
      <c r="CA84" s="57"/>
      <c r="CB84" s="57"/>
      <c r="CC84" s="82"/>
      <c r="CD84" s="82"/>
      <c r="CE84" s="82"/>
      <c r="CF84" s="82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84"/>
      <c r="CW84" s="84"/>
      <c r="CX84" s="57"/>
      <c r="CY84" s="57"/>
      <c r="CZ84" s="57"/>
      <c r="DA84" s="57"/>
      <c r="DB84" s="57"/>
      <c r="DC84" s="57"/>
      <c r="DD84" s="57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129"/>
      <c r="EC84" s="88">
        <f t="shared" si="52"/>
        <v>20.880000000000003</v>
      </c>
      <c r="ED84" s="88"/>
      <c r="EE84" s="65"/>
      <c r="EF84" s="65"/>
      <c r="EG84" s="88"/>
      <c r="EH84" s="88">
        <f>O84</f>
        <v>1722.9</v>
      </c>
      <c r="EI84" s="88"/>
      <c r="EJ84" s="66"/>
      <c r="EK84" s="66"/>
      <c r="EL84" s="66">
        <f t="shared" si="51"/>
        <v>1722.9</v>
      </c>
      <c r="EM84" s="66"/>
      <c r="EN84" s="67">
        <f t="shared" si="41"/>
        <v>35974.152000000009</v>
      </c>
      <c r="EO84" s="67"/>
      <c r="EP84" s="68">
        <f t="shared" si="40"/>
        <v>0</v>
      </c>
      <c r="EQ84" s="68"/>
      <c r="ER84" s="68">
        <f>M84*EE84</f>
        <v>0</v>
      </c>
      <c r="ES84" s="88">
        <v>6731.45</v>
      </c>
      <c r="ET84" s="223">
        <f t="shared" si="18"/>
        <v>-6731.45</v>
      </c>
      <c r="EU84" s="223">
        <f t="shared" si="48"/>
        <v>-1526.4058956916099</v>
      </c>
    </row>
    <row r="85" spans="1:151">
      <c r="A85" s="47">
        <v>75</v>
      </c>
      <c r="B85" s="73" t="s">
        <v>195</v>
      </c>
      <c r="C85" s="73">
        <v>126</v>
      </c>
      <c r="D85" s="74" t="s">
        <v>155</v>
      </c>
      <c r="E85" s="116" t="s">
        <v>150</v>
      </c>
      <c r="F85" s="57">
        <v>1957</v>
      </c>
      <c r="G85" s="57">
        <v>3</v>
      </c>
      <c r="H85" s="57">
        <v>2</v>
      </c>
      <c r="I85" s="75">
        <v>23</v>
      </c>
      <c r="J85" s="75">
        <v>53</v>
      </c>
      <c r="K85" s="75">
        <v>23</v>
      </c>
      <c r="L85" s="133">
        <f>[1]Физк.126!H28+[1]Физк.126!I28</f>
        <v>45</v>
      </c>
      <c r="M85" s="57">
        <f>[1]Физк.126!E31</f>
        <v>1100.6999999999998</v>
      </c>
      <c r="N85" s="57">
        <f>[1]Физк.126!E32</f>
        <v>142.9</v>
      </c>
      <c r="O85" s="131">
        <f t="shared" si="45"/>
        <v>1243.5999999999999</v>
      </c>
      <c r="P85" s="76"/>
      <c r="Q85" s="76"/>
      <c r="R85" s="77">
        <f>[1]Физк.126!F31</f>
        <v>667.59999999999991</v>
      </c>
      <c r="S85" s="77">
        <f>[1]Физк.126!F32</f>
        <v>90</v>
      </c>
      <c r="T85" s="57">
        <f t="shared" si="46"/>
        <v>757.59999999999991</v>
      </c>
      <c r="U85" s="57"/>
      <c r="V85" s="57"/>
      <c r="W85" s="78">
        <f t="shared" si="38"/>
        <v>1243.5999999999999</v>
      </c>
      <c r="X85" s="76">
        <f t="shared" si="39"/>
        <v>757.59999999999991</v>
      </c>
      <c r="Y85" s="76">
        <f t="shared" si="49"/>
        <v>1243.5999999999999</v>
      </c>
      <c r="Z85" s="76">
        <f t="shared" si="49"/>
        <v>757.59999999999991</v>
      </c>
      <c r="AA85" s="76"/>
      <c r="AB85" s="76"/>
      <c r="AC85" s="76">
        <f t="shared" si="43"/>
        <v>1243.5999999999999</v>
      </c>
      <c r="AD85" s="57">
        <f t="shared" si="43"/>
        <v>757.59999999999991</v>
      </c>
      <c r="AE85" s="57"/>
      <c r="AF85" s="57"/>
      <c r="AG85" s="57"/>
      <c r="AH85" s="57"/>
      <c r="AI85" s="57"/>
      <c r="AJ85" s="57"/>
      <c r="AK85" s="57">
        <f t="shared" si="50"/>
        <v>1243.5999999999999</v>
      </c>
      <c r="AL85" s="57">
        <f t="shared" si="50"/>
        <v>757.59999999999991</v>
      </c>
      <c r="AM85" s="57"/>
      <c r="AN85" s="57"/>
      <c r="AO85" s="57"/>
      <c r="AP85" s="57"/>
      <c r="AQ85" s="79">
        <f t="shared" si="47"/>
        <v>1243.5999999999999</v>
      </c>
      <c r="AR85" s="79">
        <f t="shared" si="47"/>
        <v>757.59999999999991</v>
      </c>
      <c r="AS85" s="57">
        <v>514.20000000000005</v>
      </c>
      <c r="AT85" s="57">
        <v>315.60000000000002</v>
      </c>
      <c r="AU85" s="57"/>
      <c r="AV85" s="57"/>
      <c r="AW85" s="57"/>
      <c r="AX85" s="57"/>
      <c r="AY85" s="57">
        <v>10</v>
      </c>
      <c r="AZ85" s="57">
        <v>5521000</v>
      </c>
      <c r="BA85" s="57"/>
      <c r="BB85" s="57">
        <v>66.3</v>
      </c>
      <c r="BC85" s="57"/>
      <c r="BD85" s="57"/>
      <c r="BE85" s="57"/>
      <c r="BF85" s="57"/>
      <c r="BG85" s="57">
        <v>132</v>
      </c>
      <c r="BH85" s="57"/>
      <c r="BI85" s="57"/>
      <c r="BJ85" s="57"/>
      <c r="BK85" s="57"/>
      <c r="BL85" s="57"/>
      <c r="BM85" s="57"/>
      <c r="BN85" s="57"/>
      <c r="BO85" s="57"/>
      <c r="BP85" s="81">
        <f t="shared" si="42"/>
        <v>544.9867999999999</v>
      </c>
      <c r="BQ85" s="57"/>
      <c r="BR85" s="82"/>
      <c r="BS85" s="83"/>
      <c r="BT85" s="83">
        <v>453.4</v>
      </c>
      <c r="BU85" s="57">
        <v>453.4</v>
      </c>
      <c r="BV85" s="57">
        <v>889.12</v>
      </c>
      <c r="BW85" s="57"/>
      <c r="BX85" s="57"/>
      <c r="BY85" s="82"/>
      <c r="BZ85" s="57"/>
      <c r="CA85" s="57"/>
      <c r="CB85" s="57"/>
      <c r="CC85" s="82"/>
      <c r="CD85" s="82"/>
      <c r="CE85" s="82"/>
      <c r="CF85" s="82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84"/>
      <c r="CW85" s="84"/>
      <c r="CX85" s="57"/>
      <c r="CY85" s="57"/>
      <c r="CZ85" s="57"/>
      <c r="DA85" s="57"/>
      <c r="DB85" s="57"/>
      <c r="DC85" s="57"/>
      <c r="DD85" s="57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129"/>
      <c r="EC85" s="88">
        <f t="shared" si="52"/>
        <v>20.880000000000003</v>
      </c>
      <c r="ED85" s="88"/>
      <c r="EE85" s="65"/>
      <c r="EF85" s="65"/>
      <c r="EG85" s="88"/>
      <c r="EH85" s="88">
        <v>1241.8</v>
      </c>
      <c r="EI85" s="88"/>
      <c r="EJ85" s="66"/>
      <c r="EK85" s="66"/>
      <c r="EL85" s="66">
        <f t="shared" si="51"/>
        <v>1243.5999999999999</v>
      </c>
      <c r="EM85" s="66"/>
      <c r="EN85" s="67">
        <f t="shared" si="41"/>
        <v>25928.784000000003</v>
      </c>
      <c r="EO85" s="67"/>
      <c r="EP85" s="68">
        <f t="shared" si="40"/>
        <v>0</v>
      </c>
      <c r="EQ85" s="68"/>
      <c r="ER85" s="69">
        <f>M85*EE85</f>
        <v>0</v>
      </c>
      <c r="ES85" s="89">
        <v>4145.42</v>
      </c>
      <c r="ET85" s="71">
        <f>EQ85+ER85-ES85</f>
        <v>-4145.42</v>
      </c>
      <c r="EU85" s="71">
        <f t="shared" si="48"/>
        <v>-940.00453514739229</v>
      </c>
    </row>
    <row r="86" spans="1:151">
      <c r="A86" s="47">
        <v>76</v>
      </c>
      <c r="B86" s="73" t="s">
        <v>195</v>
      </c>
      <c r="C86" s="73">
        <v>128</v>
      </c>
      <c r="D86" s="74" t="s">
        <v>155</v>
      </c>
      <c r="E86" s="116" t="s">
        <v>150</v>
      </c>
      <c r="F86" s="57">
        <v>1958</v>
      </c>
      <c r="G86" s="57">
        <v>4</v>
      </c>
      <c r="H86" s="57">
        <v>2</v>
      </c>
      <c r="I86" s="75">
        <v>24</v>
      </c>
      <c r="J86" s="75">
        <v>56</v>
      </c>
      <c r="K86" s="75">
        <v>24</v>
      </c>
      <c r="L86" s="133">
        <f>[1]Физк.128!H29+[1]Физк.128!I29</f>
        <v>51</v>
      </c>
      <c r="M86" s="57">
        <f>[1]Физк.128!E32</f>
        <v>1329.9000000000003</v>
      </c>
      <c r="N86" s="57">
        <f>[1]Физк.128!E33</f>
        <v>0</v>
      </c>
      <c r="O86" s="131">
        <f t="shared" si="45"/>
        <v>1329.9000000000003</v>
      </c>
      <c r="P86" s="76"/>
      <c r="Q86" s="76"/>
      <c r="R86" s="77">
        <f>[1]Физк.128!F32</f>
        <v>856.8</v>
      </c>
      <c r="S86" s="77">
        <f>[1]Физк.128!F33</f>
        <v>0</v>
      </c>
      <c r="T86" s="57">
        <f t="shared" si="46"/>
        <v>856.8</v>
      </c>
      <c r="U86" s="57"/>
      <c r="V86" s="57"/>
      <c r="W86" s="78">
        <f t="shared" si="38"/>
        <v>1329.9000000000003</v>
      </c>
      <c r="X86" s="76">
        <f t="shared" si="39"/>
        <v>856.8</v>
      </c>
      <c r="Y86" s="76">
        <f t="shared" si="49"/>
        <v>1329.9000000000003</v>
      </c>
      <c r="Z86" s="76">
        <f t="shared" si="49"/>
        <v>856.8</v>
      </c>
      <c r="AA86" s="76"/>
      <c r="AB86" s="76"/>
      <c r="AC86" s="76">
        <f t="shared" si="43"/>
        <v>1329.9000000000003</v>
      </c>
      <c r="AD86" s="57">
        <f t="shared" si="43"/>
        <v>856.8</v>
      </c>
      <c r="AE86" s="57"/>
      <c r="AF86" s="57"/>
      <c r="AG86" s="57"/>
      <c r="AH86" s="57"/>
      <c r="AI86" s="57"/>
      <c r="AJ86" s="57"/>
      <c r="AK86" s="57">
        <f t="shared" si="50"/>
        <v>1329.9000000000003</v>
      </c>
      <c r="AL86" s="57">
        <f t="shared" si="50"/>
        <v>856.8</v>
      </c>
      <c r="AM86" s="57"/>
      <c r="AN86" s="57"/>
      <c r="AO86" s="57"/>
      <c r="AP86" s="57"/>
      <c r="AQ86" s="79">
        <f t="shared" si="47"/>
        <v>1329.9000000000003</v>
      </c>
      <c r="AR86" s="79">
        <f t="shared" si="47"/>
        <v>856.8</v>
      </c>
      <c r="AS86" s="57">
        <v>545.9</v>
      </c>
      <c r="AT86" s="57">
        <v>348.9</v>
      </c>
      <c r="AU86" s="57"/>
      <c r="AV86" s="57"/>
      <c r="AW86" s="57"/>
      <c r="AX86" s="57"/>
      <c r="AY86" s="57">
        <v>10</v>
      </c>
      <c r="AZ86" s="57">
        <v>5614000</v>
      </c>
      <c r="BA86" s="57"/>
      <c r="BB86" s="57"/>
      <c r="BC86" s="57"/>
      <c r="BD86" s="57"/>
      <c r="BE86" s="57"/>
      <c r="BF86" s="57"/>
      <c r="BG86" s="57">
        <v>140.6</v>
      </c>
      <c r="BH86" s="57"/>
      <c r="BI86" s="57"/>
      <c r="BJ86" s="57"/>
      <c r="BK86" s="57"/>
      <c r="BL86" s="57"/>
      <c r="BM86" s="57"/>
      <c r="BN86" s="57"/>
      <c r="BO86" s="57"/>
      <c r="BP86" s="81">
        <f t="shared" si="42"/>
        <v>254.82399999999998</v>
      </c>
      <c r="BQ86" s="57"/>
      <c r="BR86" s="82"/>
      <c r="BS86" s="83"/>
      <c r="BT86" s="83">
        <v>212</v>
      </c>
      <c r="BU86" s="57">
        <v>212</v>
      </c>
      <c r="BV86" s="57">
        <v>1623.8</v>
      </c>
      <c r="BW86" s="57"/>
      <c r="BX86" s="57"/>
      <c r="BY86" s="82"/>
      <c r="BZ86" s="57"/>
      <c r="CA86" s="57"/>
      <c r="CB86" s="57"/>
      <c r="CC86" s="82"/>
      <c r="CD86" s="82"/>
      <c r="CE86" s="82"/>
      <c r="CF86" s="82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84"/>
      <c r="CW86" s="84"/>
      <c r="CX86" s="57"/>
      <c r="CY86" s="57"/>
      <c r="CZ86" s="57"/>
      <c r="DA86" s="57"/>
      <c r="DB86" s="57"/>
      <c r="DC86" s="57"/>
      <c r="DD86" s="57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129"/>
      <c r="EC86" s="88">
        <f t="shared" si="52"/>
        <v>20.880000000000003</v>
      </c>
      <c r="ED86" s="88"/>
      <c r="EE86" s="65"/>
      <c r="EF86" s="65"/>
      <c r="EG86" s="88"/>
      <c r="EH86" s="88">
        <v>1329.9</v>
      </c>
      <c r="EI86" s="88"/>
      <c r="EJ86" s="66"/>
      <c r="EK86" s="66"/>
      <c r="EL86" s="66">
        <f t="shared" si="51"/>
        <v>1329.9000000000003</v>
      </c>
      <c r="EM86" s="66"/>
      <c r="EN86" s="67">
        <f t="shared" si="41"/>
        <v>27768.312000000005</v>
      </c>
      <c r="EO86" s="67"/>
      <c r="EP86" s="68">
        <f t="shared" si="40"/>
        <v>0</v>
      </c>
      <c r="EQ86" s="68"/>
      <c r="ER86" s="69">
        <f>M86*EE86</f>
        <v>0</v>
      </c>
      <c r="ES86" s="89">
        <v>5021.2299999999996</v>
      </c>
      <c r="ET86" s="71">
        <f>EQ86+ER86-ES86</f>
        <v>-5021.2299999999996</v>
      </c>
      <c r="EU86" s="71">
        <f t="shared" si="48"/>
        <v>-1138.6009070294783</v>
      </c>
    </row>
    <row r="87" spans="1:151">
      <c r="A87" s="47">
        <v>77</v>
      </c>
      <c r="B87" s="73" t="s">
        <v>195</v>
      </c>
      <c r="C87" s="73">
        <v>130</v>
      </c>
      <c r="D87" s="74" t="s">
        <v>155</v>
      </c>
      <c r="E87" s="116" t="s">
        <v>150</v>
      </c>
      <c r="F87" s="57">
        <v>1958</v>
      </c>
      <c r="G87" s="57">
        <v>4</v>
      </c>
      <c r="H87" s="57">
        <v>2</v>
      </c>
      <c r="I87" s="75">
        <v>24</v>
      </c>
      <c r="J87" s="75">
        <v>56</v>
      </c>
      <c r="K87" s="75">
        <v>24</v>
      </c>
      <c r="L87" s="133">
        <f>[1]Физк.130!H29+[1]Физк.130!I29</f>
        <v>56</v>
      </c>
      <c r="M87" s="57">
        <f>[1]Физк.130!E32</f>
        <v>1181.3999999999999</v>
      </c>
      <c r="N87" s="57">
        <f>[1]Физк.130!E33</f>
        <v>153.19999999999999</v>
      </c>
      <c r="O87" s="131">
        <f t="shared" si="45"/>
        <v>1334.6</v>
      </c>
      <c r="P87" s="76"/>
      <c r="Q87" s="76"/>
      <c r="R87" s="77">
        <f>[1]Физк.130!F32</f>
        <v>753.9</v>
      </c>
      <c r="S87" s="77">
        <f>[1]Физк.130!F33</f>
        <v>106.6</v>
      </c>
      <c r="T87" s="57">
        <f t="shared" si="46"/>
        <v>860.5</v>
      </c>
      <c r="U87" s="57"/>
      <c r="V87" s="57"/>
      <c r="W87" s="78">
        <f t="shared" si="38"/>
        <v>1334.6</v>
      </c>
      <c r="X87" s="76">
        <f t="shared" si="39"/>
        <v>860.5</v>
      </c>
      <c r="Y87" s="76">
        <f t="shared" si="49"/>
        <v>1334.6</v>
      </c>
      <c r="Z87" s="76">
        <f t="shared" si="49"/>
        <v>860.5</v>
      </c>
      <c r="AA87" s="76"/>
      <c r="AB87" s="76"/>
      <c r="AC87" s="76">
        <f t="shared" si="43"/>
        <v>1334.6</v>
      </c>
      <c r="AD87" s="57">
        <f t="shared" si="43"/>
        <v>860.5</v>
      </c>
      <c r="AE87" s="57"/>
      <c r="AF87" s="57"/>
      <c r="AG87" s="57"/>
      <c r="AH87" s="57"/>
      <c r="AI87" s="57"/>
      <c r="AJ87" s="57"/>
      <c r="AK87" s="57">
        <f t="shared" si="50"/>
        <v>1334.6</v>
      </c>
      <c r="AL87" s="57">
        <f t="shared" si="50"/>
        <v>860.5</v>
      </c>
      <c r="AM87" s="57"/>
      <c r="AN87" s="57"/>
      <c r="AO87" s="57"/>
      <c r="AP87" s="57"/>
      <c r="AQ87" s="79">
        <f t="shared" si="47"/>
        <v>1334.6</v>
      </c>
      <c r="AR87" s="79">
        <f t="shared" si="47"/>
        <v>860.5</v>
      </c>
      <c r="AS87" s="57">
        <v>602.20000000000005</v>
      </c>
      <c r="AT87" s="57">
        <v>396.3</v>
      </c>
      <c r="AU87" s="57"/>
      <c r="AV87" s="57"/>
      <c r="AW87" s="57"/>
      <c r="AX87" s="57"/>
      <c r="AY87" s="57">
        <v>10</v>
      </c>
      <c r="AZ87" s="57">
        <v>5635000</v>
      </c>
      <c r="BA87" s="57"/>
      <c r="BB87" s="57"/>
      <c r="BC87" s="57"/>
      <c r="BD87" s="57"/>
      <c r="BE87" s="57"/>
      <c r="BF87" s="57"/>
      <c r="BG87" s="57">
        <v>108.6</v>
      </c>
      <c r="BH87" s="57"/>
      <c r="BI87" s="57"/>
      <c r="BJ87" s="57"/>
      <c r="BK87" s="80"/>
      <c r="BL87" s="57"/>
      <c r="BM87" s="57"/>
      <c r="BN87" s="57"/>
      <c r="BO87" s="57"/>
      <c r="BP87" s="81">
        <f t="shared" si="42"/>
        <v>249.1746</v>
      </c>
      <c r="BQ87" s="57"/>
      <c r="BR87" s="82"/>
      <c r="BS87" s="83"/>
      <c r="BT87" s="83">
        <v>207.3</v>
      </c>
      <c r="BU87" s="57">
        <v>207.3</v>
      </c>
      <c r="BV87" s="57">
        <v>2250</v>
      </c>
      <c r="BW87" s="57"/>
      <c r="BX87" s="57"/>
      <c r="BY87" s="82"/>
      <c r="BZ87" s="84"/>
      <c r="CA87" s="84"/>
      <c r="CB87" s="84"/>
      <c r="CC87" s="85"/>
      <c r="CD87" s="85"/>
      <c r="CE87" s="85"/>
      <c r="CF87" s="85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6"/>
      <c r="CW87" s="86"/>
      <c r="CX87" s="80"/>
      <c r="CY87" s="80"/>
      <c r="CZ87" s="80"/>
      <c r="DA87" s="80"/>
      <c r="DB87" s="80"/>
      <c r="DC87" s="80"/>
      <c r="DD87" s="80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7"/>
      <c r="EC87" s="88">
        <f t="shared" si="52"/>
        <v>20.880000000000003</v>
      </c>
      <c r="ED87" s="88"/>
      <c r="EE87" s="65"/>
      <c r="EF87" s="65"/>
      <c r="EG87" s="88"/>
      <c r="EH87" s="88">
        <v>1334.4</v>
      </c>
      <c r="EI87" s="88"/>
      <c r="EJ87" s="66"/>
      <c r="EK87" s="66"/>
      <c r="EL87" s="66">
        <f t="shared" si="51"/>
        <v>1334.6</v>
      </c>
      <c r="EM87" s="66"/>
      <c r="EN87" s="67">
        <f t="shared" si="41"/>
        <v>27862.272000000004</v>
      </c>
      <c r="EO87" s="67"/>
      <c r="EP87" s="68">
        <f t="shared" si="40"/>
        <v>0</v>
      </c>
      <c r="EQ87" s="68"/>
      <c r="ER87" s="69">
        <f>M87*EE87</f>
        <v>0</v>
      </c>
      <c r="ES87" s="89">
        <v>5209.1000000000004</v>
      </c>
      <c r="ET87" s="71">
        <f>EQ87+ER87-ES87</f>
        <v>-5209.1000000000004</v>
      </c>
      <c r="EU87" s="71">
        <f t="shared" si="48"/>
        <v>-1181.2018140589569</v>
      </c>
    </row>
    <row r="88" spans="1:151">
      <c r="A88" s="47">
        <v>78</v>
      </c>
      <c r="B88" s="73" t="s">
        <v>195</v>
      </c>
      <c r="C88" s="73" t="s">
        <v>196</v>
      </c>
      <c r="D88" s="74" t="s">
        <v>155</v>
      </c>
      <c r="E88" s="116" t="s">
        <v>150</v>
      </c>
      <c r="F88" s="57">
        <v>1958</v>
      </c>
      <c r="G88" s="57">
        <v>3</v>
      </c>
      <c r="H88" s="57">
        <v>2</v>
      </c>
      <c r="I88" s="75">
        <v>18</v>
      </c>
      <c r="J88" s="75">
        <v>42</v>
      </c>
      <c r="K88" s="75">
        <v>18</v>
      </c>
      <c r="L88" s="133">
        <f>[1]Физк.124А!H23+[1]Физк.124А!I23</f>
        <v>50</v>
      </c>
      <c r="M88" s="57">
        <f>[1]Физк.124А!E26</f>
        <v>696.9</v>
      </c>
      <c r="N88" s="57">
        <f>[1]Физк.124А!E27</f>
        <v>194.3</v>
      </c>
      <c r="O88" s="131">
        <f t="shared" si="45"/>
        <v>891.2</v>
      </c>
      <c r="P88" s="76"/>
      <c r="Q88" s="76"/>
      <c r="R88" s="77">
        <f>[1]Физк.124А!F26</f>
        <v>446</v>
      </c>
      <c r="S88" s="77">
        <f>[1]Физк.124А!F27</f>
        <v>121</v>
      </c>
      <c r="T88" s="57">
        <f t="shared" si="46"/>
        <v>567</v>
      </c>
      <c r="U88" s="57"/>
      <c r="V88" s="57"/>
      <c r="W88" s="78">
        <f t="shared" si="38"/>
        <v>891.2</v>
      </c>
      <c r="X88" s="76">
        <f t="shared" si="39"/>
        <v>567</v>
      </c>
      <c r="Y88" s="76">
        <f t="shared" si="49"/>
        <v>891.2</v>
      </c>
      <c r="Z88" s="76">
        <f t="shared" si="49"/>
        <v>567</v>
      </c>
      <c r="AA88" s="76"/>
      <c r="AB88" s="76"/>
      <c r="AC88" s="76">
        <f t="shared" si="43"/>
        <v>891.2</v>
      </c>
      <c r="AD88" s="57">
        <f t="shared" si="43"/>
        <v>567</v>
      </c>
      <c r="AE88" s="57"/>
      <c r="AF88" s="57"/>
      <c r="AG88" s="57"/>
      <c r="AH88" s="57"/>
      <c r="AI88" s="57"/>
      <c r="AJ88" s="57"/>
      <c r="AK88" s="57">
        <f t="shared" si="50"/>
        <v>891.2</v>
      </c>
      <c r="AL88" s="57">
        <f t="shared" si="50"/>
        <v>567</v>
      </c>
      <c r="AM88" s="57"/>
      <c r="AN88" s="57"/>
      <c r="AO88" s="57"/>
      <c r="AP88" s="57"/>
      <c r="AQ88" s="79">
        <f t="shared" si="47"/>
        <v>891.2</v>
      </c>
      <c r="AR88" s="79">
        <f t="shared" si="47"/>
        <v>567</v>
      </c>
      <c r="AS88" s="57">
        <v>849.5</v>
      </c>
      <c r="AT88" s="57">
        <v>540.9</v>
      </c>
      <c r="AU88" s="57"/>
      <c r="AV88" s="57"/>
      <c r="AW88" s="57"/>
      <c r="AX88" s="57"/>
      <c r="AY88" s="57">
        <v>17</v>
      </c>
      <c r="AZ88" s="57">
        <v>3765000</v>
      </c>
      <c r="BA88" s="57"/>
      <c r="BB88" s="57"/>
      <c r="BC88" s="57"/>
      <c r="BD88" s="57"/>
      <c r="BE88" s="57"/>
      <c r="BF88" s="57"/>
      <c r="BG88" s="57">
        <f>58.8+50.9</f>
        <v>109.69999999999999</v>
      </c>
      <c r="BH88" s="57"/>
      <c r="BI88" s="57"/>
      <c r="BJ88" s="57"/>
      <c r="BK88" s="80"/>
      <c r="BL88" s="57"/>
      <c r="BM88" s="57"/>
      <c r="BN88" s="57"/>
      <c r="BO88" s="57"/>
      <c r="BP88" s="81">
        <f t="shared" si="42"/>
        <v>108.05980000000001</v>
      </c>
      <c r="BQ88" s="57"/>
      <c r="BR88" s="82"/>
      <c r="BS88" s="83"/>
      <c r="BT88" s="83">
        <v>89.9</v>
      </c>
      <c r="BU88" s="57">
        <v>89.9</v>
      </c>
      <c r="BV88" s="57">
        <v>2323.6999999999998</v>
      </c>
      <c r="BW88" s="57"/>
      <c r="BX88" s="57"/>
      <c r="BY88" s="82"/>
      <c r="BZ88" s="84"/>
      <c r="CA88" s="84"/>
      <c r="CB88" s="84"/>
      <c r="CC88" s="85"/>
      <c r="CD88" s="85"/>
      <c r="CE88" s="85"/>
      <c r="CF88" s="85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6"/>
      <c r="CW88" s="86"/>
      <c r="CX88" s="80"/>
      <c r="CY88" s="80"/>
      <c r="CZ88" s="80"/>
      <c r="DA88" s="80"/>
      <c r="DB88" s="80"/>
      <c r="DC88" s="80"/>
      <c r="DD88" s="80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7"/>
      <c r="EC88" s="88">
        <f t="shared" si="52"/>
        <v>20.880000000000003</v>
      </c>
      <c r="ED88" s="88"/>
      <c r="EE88" s="65"/>
      <c r="EF88" s="65"/>
      <c r="EG88" s="88"/>
      <c r="EH88" s="88">
        <f>O88</f>
        <v>891.2</v>
      </c>
      <c r="EI88" s="88"/>
      <c r="EJ88" s="66"/>
      <c r="EK88" s="66"/>
      <c r="EL88" s="66">
        <f t="shared" si="51"/>
        <v>891.2</v>
      </c>
      <c r="EM88" s="66"/>
      <c r="EN88" s="67">
        <f t="shared" si="41"/>
        <v>18608.256000000005</v>
      </c>
      <c r="EO88" s="67"/>
      <c r="EP88" s="68">
        <f t="shared" si="40"/>
        <v>0</v>
      </c>
      <c r="EQ88" s="68"/>
      <c r="ER88" s="69"/>
      <c r="ES88" s="222"/>
      <c r="ET88" s="71">
        <f>EQ88+ER88-ES88</f>
        <v>0</v>
      </c>
      <c r="EU88" s="71">
        <f t="shared" si="48"/>
        <v>0</v>
      </c>
    </row>
    <row r="89" spans="1:151">
      <c r="A89" s="47">
        <v>79</v>
      </c>
      <c r="B89" s="73" t="s">
        <v>195</v>
      </c>
      <c r="C89" s="73" t="s">
        <v>197</v>
      </c>
      <c r="D89" s="74" t="s">
        <v>155</v>
      </c>
      <c r="E89" s="116" t="s">
        <v>150</v>
      </c>
      <c r="F89" s="80">
        <v>1956</v>
      </c>
      <c r="G89" s="57">
        <v>2</v>
      </c>
      <c r="H89" s="57">
        <v>2</v>
      </c>
      <c r="I89" s="117">
        <v>12</v>
      </c>
      <c r="J89" s="117">
        <v>28</v>
      </c>
      <c r="K89" s="117">
        <v>12</v>
      </c>
      <c r="L89" s="133">
        <f>[1]Физк.126Б!H17+[1]Физк.126Б!I17</f>
        <v>28</v>
      </c>
      <c r="M89" s="80">
        <f>[1]Физк.126Б!E20</f>
        <v>570.40000000000009</v>
      </c>
      <c r="N89" s="80">
        <f>[1]Физк.126Б!E21</f>
        <v>43.9</v>
      </c>
      <c r="O89" s="131">
        <f t="shared" si="45"/>
        <v>614.30000000000007</v>
      </c>
      <c r="P89" s="119"/>
      <c r="Q89" s="119"/>
      <c r="R89" s="221">
        <f>[1]Физк.126Б!F20</f>
        <v>368.20000000000005</v>
      </c>
      <c r="S89" s="221">
        <f>[1]Физк.126Б!F21</f>
        <v>27.5</v>
      </c>
      <c r="T89" s="57">
        <f t="shared" si="46"/>
        <v>395.70000000000005</v>
      </c>
      <c r="U89" s="80"/>
      <c r="V89" s="80"/>
      <c r="W89" s="78">
        <f t="shared" si="38"/>
        <v>614.30000000000007</v>
      </c>
      <c r="X89" s="76">
        <f t="shared" si="39"/>
        <v>395.70000000000005</v>
      </c>
      <c r="Y89" s="76">
        <f t="shared" si="49"/>
        <v>614.30000000000007</v>
      </c>
      <c r="Z89" s="76">
        <f t="shared" si="49"/>
        <v>395.70000000000005</v>
      </c>
      <c r="AA89" s="119"/>
      <c r="AB89" s="119"/>
      <c r="AC89" s="76">
        <f t="shared" si="43"/>
        <v>614.30000000000007</v>
      </c>
      <c r="AD89" s="57">
        <f t="shared" si="43"/>
        <v>395.70000000000005</v>
      </c>
      <c r="AE89" s="80"/>
      <c r="AF89" s="80"/>
      <c r="AG89" s="80"/>
      <c r="AH89" s="80"/>
      <c r="AI89" s="80"/>
      <c r="AJ89" s="80"/>
      <c r="AK89" s="57">
        <f t="shared" si="50"/>
        <v>614.30000000000007</v>
      </c>
      <c r="AL89" s="57">
        <f t="shared" si="50"/>
        <v>395.70000000000005</v>
      </c>
      <c r="AM89" s="80"/>
      <c r="AN89" s="80"/>
      <c r="AO89" s="80"/>
      <c r="AP89" s="80"/>
      <c r="AQ89" s="79">
        <f t="shared" si="47"/>
        <v>614.30000000000007</v>
      </c>
      <c r="AR89" s="79">
        <f t="shared" si="47"/>
        <v>395.70000000000005</v>
      </c>
      <c r="AS89" s="80">
        <v>566.70000000000005</v>
      </c>
      <c r="AT89" s="80">
        <v>368</v>
      </c>
      <c r="AU89" s="80"/>
      <c r="AV89" s="80"/>
      <c r="AW89" s="80"/>
      <c r="AX89" s="80"/>
      <c r="AY89" s="80">
        <v>11</v>
      </c>
      <c r="AZ89" s="80">
        <v>2592000</v>
      </c>
      <c r="BA89" s="80"/>
      <c r="BB89" s="80"/>
      <c r="BC89" s="80"/>
      <c r="BD89" s="80"/>
      <c r="BE89" s="80"/>
      <c r="BF89" s="80"/>
      <c r="BG89" s="80">
        <v>105.6</v>
      </c>
      <c r="BH89" s="80"/>
      <c r="BI89" s="80"/>
      <c r="BJ89" s="80"/>
      <c r="BK89" s="57"/>
      <c r="BL89" s="80"/>
      <c r="BM89" s="80"/>
      <c r="BN89" s="80"/>
      <c r="BO89" s="80"/>
      <c r="BP89" s="81">
        <f t="shared" si="42"/>
        <v>100.0064</v>
      </c>
      <c r="BQ89" s="80"/>
      <c r="BR89" s="120"/>
      <c r="BS89" s="83"/>
      <c r="BT89" s="83">
        <v>83.2</v>
      </c>
      <c r="BU89" s="80">
        <v>83.2</v>
      </c>
      <c r="BV89" s="80">
        <v>1414.5</v>
      </c>
      <c r="BW89" s="80"/>
      <c r="BX89" s="80"/>
      <c r="BY89" s="120"/>
      <c r="BZ89" s="86"/>
      <c r="CA89" s="121"/>
      <c r="CB89" s="86"/>
      <c r="CC89" s="120"/>
      <c r="CD89" s="120"/>
      <c r="CE89" s="120"/>
      <c r="CF89" s="120"/>
      <c r="CG89" s="80"/>
      <c r="CH89" s="117"/>
      <c r="CI89" s="80"/>
      <c r="CJ89" s="80"/>
      <c r="CK89" s="80"/>
      <c r="CL89" s="80"/>
      <c r="CM89" s="80"/>
      <c r="CN89" s="80"/>
      <c r="CO89" s="80"/>
      <c r="CP89" s="80"/>
      <c r="CQ89" s="80"/>
      <c r="CR89" s="120"/>
      <c r="CS89" s="80"/>
      <c r="CT89" s="80"/>
      <c r="CU89" s="80"/>
      <c r="CV89" s="86"/>
      <c r="CW89" s="117"/>
      <c r="CX89" s="117"/>
      <c r="CY89" s="80"/>
      <c r="CZ89" s="80"/>
      <c r="DA89" s="80"/>
      <c r="DB89" s="80"/>
      <c r="DC89" s="120"/>
      <c r="DD89" s="120"/>
      <c r="DE89" s="80"/>
      <c r="DF89" s="80"/>
      <c r="DG89" s="80"/>
      <c r="DH89" s="120"/>
      <c r="DI89" s="80"/>
      <c r="DJ89" s="80"/>
      <c r="DK89" s="80"/>
      <c r="DL89" s="80"/>
      <c r="DM89" s="80"/>
      <c r="DN89" s="117"/>
      <c r="DO89" s="80"/>
      <c r="DP89" s="117"/>
      <c r="DQ89" s="117"/>
      <c r="DR89" s="80"/>
      <c r="DS89" s="120"/>
      <c r="DT89" s="120"/>
      <c r="DU89" s="80"/>
      <c r="DV89" s="86"/>
      <c r="DW89" s="80"/>
      <c r="DX89" s="120"/>
      <c r="DY89" s="80"/>
      <c r="DZ89" s="80"/>
      <c r="EA89" s="80"/>
      <c r="EB89" s="122"/>
      <c r="EC89" s="88">
        <f>18.36-0.72</f>
        <v>17.64</v>
      </c>
      <c r="ED89" s="88"/>
      <c r="EE89" s="65"/>
      <c r="EF89" s="65"/>
      <c r="EG89" s="88"/>
      <c r="EH89" s="88">
        <v>614.29999999999995</v>
      </c>
      <c r="EI89" s="88"/>
      <c r="EJ89" s="66"/>
      <c r="EK89" s="66"/>
      <c r="EL89" s="66">
        <f t="shared" si="51"/>
        <v>614.30000000000007</v>
      </c>
      <c r="EM89" s="66"/>
      <c r="EN89" s="67">
        <f t="shared" si="41"/>
        <v>10836.252</v>
      </c>
      <c r="EO89" s="67"/>
      <c r="EP89" s="68">
        <f t="shared" si="40"/>
        <v>0</v>
      </c>
      <c r="EQ89" s="68"/>
      <c r="ER89" s="68">
        <f>M89*EE89</f>
        <v>0</v>
      </c>
      <c r="ES89" s="88">
        <v>2515.46</v>
      </c>
      <c r="ET89" s="223">
        <f>EQ89+ER89-ES89</f>
        <v>-2515.46</v>
      </c>
      <c r="EU89" s="223">
        <f t="shared" si="48"/>
        <v>-570.39909297052156</v>
      </c>
    </row>
    <row r="90" spans="1:151">
      <c r="A90" s="224"/>
      <c r="B90" s="73"/>
      <c r="C90" s="73"/>
      <c r="D90" s="74"/>
      <c r="E90" s="57"/>
      <c r="F90" s="57"/>
      <c r="G90" s="57"/>
      <c r="H90" s="57">
        <f>SUM(H8:H89)</f>
        <v>284</v>
      </c>
      <c r="I90" s="75"/>
      <c r="J90" s="75"/>
      <c r="K90" s="75"/>
      <c r="L90" s="57"/>
      <c r="M90" s="57"/>
      <c r="N90" s="57"/>
      <c r="O90" s="76"/>
      <c r="P90" s="76"/>
      <c r="Q90" s="76"/>
      <c r="R90" s="77"/>
      <c r="S90" s="77"/>
      <c r="T90" s="57"/>
      <c r="U90" s="57"/>
      <c r="V90" s="57"/>
      <c r="W90" s="76"/>
      <c r="X90" s="76"/>
      <c r="Y90" s="76"/>
      <c r="Z90" s="76"/>
      <c r="AA90" s="76"/>
      <c r="AB90" s="76"/>
      <c r="AC90" s="76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79"/>
      <c r="AR90" s="79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80"/>
      <c r="BL90" s="57"/>
      <c r="BM90" s="57"/>
      <c r="BN90" s="57"/>
      <c r="BO90" s="57"/>
      <c r="BP90" s="81"/>
      <c r="BQ90" s="57"/>
      <c r="BR90" s="82"/>
      <c r="BS90" s="83"/>
      <c r="BT90" s="83"/>
      <c r="BU90" s="57"/>
      <c r="BV90" s="57"/>
      <c r="BW90" s="57"/>
      <c r="BX90" s="57"/>
      <c r="BY90" s="82"/>
      <c r="BZ90" s="84"/>
      <c r="CA90" s="84"/>
      <c r="CB90" s="84"/>
      <c r="CC90" s="85"/>
      <c r="CD90" s="85"/>
      <c r="CE90" s="85"/>
      <c r="CF90" s="85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6"/>
      <c r="CW90" s="86"/>
      <c r="CX90" s="80"/>
      <c r="CY90" s="80"/>
      <c r="CZ90" s="80"/>
      <c r="DA90" s="80"/>
      <c r="DB90" s="80"/>
      <c r="DC90" s="80"/>
      <c r="DD90" s="80"/>
      <c r="DE90" s="86"/>
      <c r="DF90" s="86"/>
      <c r="DG90" s="86"/>
      <c r="DH90" s="86"/>
      <c r="DI90" s="86"/>
      <c r="DJ90" s="86"/>
      <c r="DK90" s="86"/>
      <c r="DL90" s="86"/>
      <c r="DM90" s="86"/>
      <c r="DN90" s="86"/>
      <c r="DO90" s="86"/>
      <c r="DP90" s="86"/>
      <c r="DQ90" s="86"/>
      <c r="DR90" s="86"/>
      <c r="DS90" s="86"/>
      <c r="DT90" s="86"/>
      <c r="DU90" s="86"/>
      <c r="DV90" s="86"/>
      <c r="DW90" s="86"/>
      <c r="DX90" s="86"/>
      <c r="DY90" s="86"/>
      <c r="DZ90" s="86"/>
      <c r="EA90" s="86"/>
      <c r="EB90" s="87"/>
      <c r="EC90" s="88"/>
      <c r="ED90" s="88"/>
      <c r="EE90" s="88"/>
      <c r="EF90" s="88"/>
      <c r="EG90" s="88"/>
      <c r="EH90" s="88"/>
      <c r="EI90" s="88"/>
      <c r="EJ90" s="225"/>
      <c r="EK90" s="225"/>
      <c r="EL90" s="225"/>
      <c r="EM90" s="225"/>
      <c r="EN90" s="225"/>
      <c r="EO90" s="225"/>
      <c r="EP90" s="88"/>
      <c r="EQ90" s="88"/>
      <c r="ER90" s="89"/>
      <c r="ES90" s="89"/>
      <c r="ET90" s="89"/>
      <c r="EU90" s="89"/>
    </row>
    <row r="91" spans="1:151" ht="15.75" thickBot="1">
      <c r="A91" s="226"/>
      <c r="B91" s="227"/>
      <c r="C91" s="227"/>
      <c r="D91" s="228"/>
      <c r="E91" s="229"/>
      <c r="F91" s="229"/>
      <c r="G91" s="229"/>
      <c r="H91" s="229"/>
      <c r="I91" s="230"/>
      <c r="J91" s="230"/>
      <c r="K91" s="230"/>
      <c r="L91" s="229"/>
      <c r="M91" s="229"/>
      <c r="N91" s="229"/>
      <c r="O91" s="231"/>
      <c r="P91" s="231"/>
      <c r="Q91" s="231"/>
      <c r="R91" s="232"/>
      <c r="S91" s="232"/>
      <c r="T91" s="229"/>
      <c r="U91" s="229"/>
      <c r="V91" s="229"/>
      <c r="W91" s="231"/>
      <c r="X91" s="231"/>
      <c r="Y91" s="231"/>
      <c r="Z91" s="231"/>
      <c r="AA91" s="231"/>
      <c r="AB91" s="231"/>
      <c r="AC91" s="231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33"/>
      <c r="AR91" s="233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34"/>
      <c r="BL91" s="229"/>
      <c r="BM91" s="229"/>
      <c r="BN91" s="229"/>
      <c r="BO91" s="229"/>
      <c r="BP91" s="235"/>
      <c r="BQ91" s="229"/>
      <c r="BR91" s="236"/>
      <c r="BS91" s="237"/>
      <c r="BT91" s="237"/>
      <c r="BU91" s="229"/>
      <c r="BV91" s="229"/>
      <c r="BW91" s="229"/>
      <c r="BX91" s="229"/>
      <c r="BY91" s="236"/>
      <c r="BZ91" s="238"/>
      <c r="CA91" s="238"/>
      <c r="CB91" s="238"/>
      <c r="CC91" s="239"/>
      <c r="CD91" s="239"/>
      <c r="CE91" s="239"/>
      <c r="CF91" s="239"/>
      <c r="CG91" s="234"/>
      <c r="CH91" s="234"/>
      <c r="CI91" s="234"/>
      <c r="CJ91" s="234"/>
      <c r="CK91" s="234"/>
      <c r="CL91" s="234"/>
      <c r="CM91" s="234"/>
      <c r="CN91" s="234"/>
      <c r="CO91" s="234"/>
      <c r="CP91" s="234"/>
      <c r="CQ91" s="234"/>
      <c r="CR91" s="234"/>
      <c r="CS91" s="234"/>
      <c r="CT91" s="234"/>
      <c r="CU91" s="234"/>
      <c r="CV91" s="240"/>
      <c r="CW91" s="240"/>
      <c r="CX91" s="234"/>
      <c r="CY91" s="234"/>
      <c r="CZ91" s="234"/>
      <c r="DA91" s="234"/>
      <c r="DB91" s="234"/>
      <c r="DC91" s="234"/>
      <c r="DD91" s="234"/>
      <c r="DE91" s="240"/>
      <c r="DF91" s="240"/>
      <c r="DG91" s="240"/>
      <c r="DH91" s="240"/>
      <c r="DI91" s="240"/>
      <c r="DJ91" s="240"/>
      <c r="DK91" s="240"/>
      <c r="DL91" s="240"/>
      <c r="DM91" s="240"/>
      <c r="DN91" s="240"/>
      <c r="DO91" s="240"/>
      <c r="DP91" s="240"/>
      <c r="DQ91" s="240"/>
      <c r="DR91" s="240"/>
      <c r="DS91" s="240"/>
      <c r="DT91" s="240"/>
      <c r="DU91" s="240"/>
      <c r="DV91" s="240"/>
      <c r="DW91" s="240"/>
      <c r="DX91" s="240"/>
      <c r="DY91" s="240"/>
      <c r="DZ91" s="240"/>
      <c r="EA91" s="240"/>
      <c r="EB91" s="241"/>
      <c r="EC91" s="242"/>
      <c r="ED91" s="242"/>
      <c r="EE91" s="242"/>
      <c r="EF91" s="242"/>
      <c r="EG91" s="242"/>
      <c r="EH91" s="242"/>
      <c r="EI91" s="242"/>
      <c r="EJ91" s="243"/>
      <c r="EK91" s="243"/>
      <c r="EL91" s="243"/>
      <c r="EM91" s="243"/>
      <c r="EN91" s="243"/>
      <c r="EO91" s="243"/>
      <c r="EP91" s="242"/>
      <c r="EQ91" s="242"/>
      <c r="ER91" s="244"/>
      <c r="ES91" s="244"/>
      <c r="ET91" s="244"/>
      <c r="EU91" s="244"/>
    </row>
    <row r="92" spans="1:151">
      <c r="A92" s="245"/>
      <c r="B92" s="48"/>
      <c r="C92" s="48"/>
      <c r="D92" s="49"/>
      <c r="E92" s="51"/>
      <c r="F92" s="51"/>
      <c r="G92" s="51"/>
      <c r="H92" s="51"/>
      <c r="I92" s="52"/>
      <c r="J92" s="52"/>
      <c r="K92" s="52"/>
      <c r="L92" s="51"/>
      <c r="M92" s="246"/>
      <c r="N92" s="51"/>
      <c r="O92" s="55"/>
      <c r="P92" s="55"/>
      <c r="Q92" s="55"/>
      <c r="R92" s="247"/>
      <c r="S92" s="247"/>
      <c r="T92" s="51"/>
      <c r="U92" s="51"/>
      <c r="V92" s="51"/>
      <c r="W92" s="55"/>
      <c r="X92" s="55"/>
      <c r="Y92" s="55"/>
      <c r="Z92" s="55"/>
      <c r="AA92" s="55"/>
      <c r="AB92" s="55"/>
      <c r="AC92" s="55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248"/>
      <c r="AR92" s="248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249"/>
      <c r="BL92" s="51"/>
      <c r="BM92" s="51"/>
      <c r="BN92" s="51"/>
      <c r="BO92" s="51"/>
      <c r="BP92" s="60"/>
      <c r="BQ92" s="51"/>
      <c r="BR92" s="61"/>
      <c r="BS92" s="62"/>
      <c r="BT92" s="62"/>
      <c r="BU92" s="51"/>
      <c r="BV92" s="51"/>
      <c r="BW92" s="51"/>
      <c r="BX92" s="51"/>
      <c r="BY92" s="61"/>
      <c r="BZ92" s="63"/>
      <c r="CA92" s="63"/>
      <c r="CB92" s="63"/>
      <c r="CC92" s="250"/>
      <c r="CD92" s="250"/>
      <c r="CE92" s="250"/>
      <c r="CF92" s="250"/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49"/>
      <c r="CS92" s="249"/>
      <c r="CT92" s="249"/>
      <c r="CU92" s="249"/>
      <c r="CV92" s="251"/>
      <c r="CW92" s="251"/>
      <c r="CX92" s="249"/>
      <c r="CY92" s="249"/>
      <c r="CZ92" s="249"/>
      <c r="DA92" s="249"/>
      <c r="DB92" s="249"/>
      <c r="DC92" s="249"/>
      <c r="DD92" s="249"/>
      <c r="DE92" s="251"/>
      <c r="DF92" s="251"/>
      <c r="DG92" s="251"/>
      <c r="DH92" s="251"/>
      <c r="DI92" s="251"/>
      <c r="DJ92" s="251"/>
      <c r="DK92" s="251"/>
      <c r="DL92" s="251"/>
      <c r="DM92" s="251"/>
      <c r="DN92" s="251"/>
      <c r="DO92" s="251"/>
      <c r="DP92" s="251"/>
      <c r="DQ92" s="251"/>
      <c r="DR92" s="251"/>
      <c r="DS92" s="251"/>
      <c r="DT92" s="251"/>
      <c r="DU92" s="251"/>
      <c r="DV92" s="251"/>
      <c r="DW92" s="251"/>
      <c r="DX92" s="251"/>
      <c r="DY92" s="251"/>
      <c r="DZ92" s="251"/>
      <c r="EA92" s="251"/>
      <c r="EB92" s="252"/>
      <c r="EC92" s="253"/>
      <c r="ED92" s="254"/>
      <c r="EE92" s="254"/>
      <c r="EF92" s="254"/>
      <c r="EG92" s="254"/>
      <c r="EH92" s="254"/>
      <c r="EI92" s="254"/>
      <c r="EJ92" s="255"/>
      <c r="EK92" s="255"/>
      <c r="EL92" s="255"/>
      <c r="EM92" s="255"/>
      <c r="EN92" s="256"/>
      <c r="EO92" s="256"/>
      <c r="EP92" s="256"/>
      <c r="EQ92" s="257"/>
      <c r="ER92" s="258"/>
      <c r="ES92" s="259"/>
      <c r="ET92" s="259"/>
      <c r="EU92" s="260"/>
    </row>
    <row r="93" spans="1:151">
      <c r="A93" s="261"/>
      <c r="B93" s="262" t="s">
        <v>198</v>
      </c>
      <c r="C93" s="262"/>
      <c r="D93" s="263"/>
      <c r="E93" s="264"/>
      <c r="F93" s="264"/>
      <c r="G93" s="264">
        <f t="shared" ref="G93:BR93" si="53">SUMIF($D$8:$D$89,"*пан.",G8:G89)</f>
        <v>251</v>
      </c>
      <c r="H93" s="264">
        <f t="shared" si="53"/>
        <v>215</v>
      </c>
      <c r="I93" s="264">
        <f t="shared" si="53"/>
        <v>3371</v>
      </c>
      <c r="J93" s="264">
        <f t="shared" si="53"/>
        <v>7211</v>
      </c>
      <c r="K93" s="264">
        <f t="shared" si="53"/>
        <v>3385</v>
      </c>
      <c r="L93" s="264">
        <f t="shared" si="53"/>
        <v>6595</v>
      </c>
      <c r="M93" s="264">
        <f t="shared" si="53"/>
        <v>149876.94999999998</v>
      </c>
      <c r="N93" s="264">
        <f t="shared" si="53"/>
        <v>10633.55</v>
      </c>
      <c r="O93" s="264">
        <f t="shared" si="53"/>
        <v>160510.50000000003</v>
      </c>
      <c r="P93" s="264">
        <f t="shared" si="53"/>
        <v>0</v>
      </c>
      <c r="Q93" s="264">
        <f t="shared" si="53"/>
        <v>142.5</v>
      </c>
      <c r="R93" s="264">
        <f t="shared" si="53"/>
        <v>99228.81</v>
      </c>
      <c r="S93" s="264">
        <f t="shared" si="53"/>
        <v>7065.9000000000005</v>
      </c>
      <c r="T93" s="264">
        <f t="shared" si="53"/>
        <v>106294.71000000002</v>
      </c>
      <c r="U93" s="264">
        <f t="shared" si="53"/>
        <v>0</v>
      </c>
      <c r="V93" s="264">
        <f t="shared" si="53"/>
        <v>157.80000000000001</v>
      </c>
      <c r="W93" s="264">
        <f t="shared" si="53"/>
        <v>160422.39999999999</v>
      </c>
      <c r="X93" s="264">
        <f t="shared" si="53"/>
        <v>106452.51000000002</v>
      </c>
      <c r="Y93" s="264">
        <f t="shared" si="53"/>
        <v>160422.39999999999</v>
      </c>
      <c r="Z93" s="264">
        <f t="shared" si="53"/>
        <v>106452.51000000002</v>
      </c>
      <c r="AA93" s="264">
        <f t="shared" si="53"/>
        <v>0</v>
      </c>
      <c r="AB93" s="264">
        <f t="shared" si="53"/>
        <v>0</v>
      </c>
      <c r="AC93" s="264">
        <f t="shared" si="53"/>
        <v>154577.60000000001</v>
      </c>
      <c r="AD93" s="264">
        <f t="shared" si="53"/>
        <v>102568.01000000002</v>
      </c>
      <c r="AE93" s="264">
        <f t="shared" si="53"/>
        <v>0</v>
      </c>
      <c r="AF93" s="264">
        <f t="shared" si="53"/>
        <v>0</v>
      </c>
      <c r="AG93" s="264">
        <f t="shared" si="53"/>
        <v>5939.5</v>
      </c>
      <c r="AH93" s="264">
        <f t="shared" si="53"/>
        <v>3208.5</v>
      </c>
      <c r="AI93" s="264">
        <f t="shared" si="53"/>
        <v>0</v>
      </c>
      <c r="AJ93" s="264">
        <f t="shared" si="53"/>
        <v>0</v>
      </c>
      <c r="AK93" s="264">
        <f t="shared" si="53"/>
        <v>160418.99999999997</v>
      </c>
      <c r="AL93" s="264">
        <f t="shared" si="53"/>
        <v>106462.51000000002</v>
      </c>
      <c r="AM93" s="264">
        <f t="shared" si="53"/>
        <v>0</v>
      </c>
      <c r="AN93" s="264">
        <f t="shared" si="53"/>
        <v>0</v>
      </c>
      <c r="AO93" s="264">
        <f t="shared" si="53"/>
        <v>21044</v>
      </c>
      <c r="AP93" s="264">
        <f t="shared" si="53"/>
        <v>12828.3</v>
      </c>
      <c r="AQ93" s="264">
        <f t="shared" si="53"/>
        <v>132694.1</v>
      </c>
      <c r="AR93" s="264">
        <f t="shared" si="53"/>
        <v>88916.810000000041</v>
      </c>
      <c r="AS93" s="264">
        <f t="shared" si="53"/>
        <v>64038</v>
      </c>
      <c r="AT93" s="264">
        <f t="shared" si="53"/>
        <v>43264.999999999993</v>
      </c>
      <c r="AU93" s="264">
        <f t="shared" si="53"/>
        <v>13387.599999999999</v>
      </c>
      <c r="AV93" s="264">
        <f t="shared" si="53"/>
        <v>7700.8000000000029</v>
      </c>
      <c r="AW93" s="264">
        <f t="shared" si="53"/>
        <v>9131</v>
      </c>
      <c r="AX93" s="264">
        <f t="shared" si="53"/>
        <v>5118.8</v>
      </c>
      <c r="AY93" s="264">
        <f t="shared" si="53"/>
        <v>1443</v>
      </c>
      <c r="AZ93" s="264">
        <f t="shared" si="53"/>
        <v>564256119</v>
      </c>
      <c r="BA93" s="264">
        <f t="shared" si="53"/>
        <v>1088.3000000000002</v>
      </c>
      <c r="BB93" s="264">
        <f t="shared" si="53"/>
        <v>1212.32</v>
      </c>
      <c r="BC93" s="264">
        <f t="shared" si="53"/>
        <v>79.000000000000014</v>
      </c>
      <c r="BD93" s="264">
        <f t="shared" si="53"/>
        <v>266.3</v>
      </c>
      <c r="BE93" s="264">
        <f t="shared" si="53"/>
        <v>586.29999999999995</v>
      </c>
      <c r="BF93" s="264">
        <f t="shared" si="53"/>
        <v>61.7</v>
      </c>
      <c r="BG93" s="264">
        <f t="shared" si="53"/>
        <v>17383.25</v>
      </c>
      <c r="BH93" s="264">
        <f t="shared" si="53"/>
        <v>0</v>
      </c>
      <c r="BI93" s="264">
        <f t="shared" si="53"/>
        <v>0</v>
      </c>
      <c r="BJ93" s="264">
        <f t="shared" si="53"/>
        <v>1017.6</v>
      </c>
      <c r="BK93" s="264">
        <f t="shared" si="53"/>
        <v>316.39999999999998</v>
      </c>
      <c r="BL93" s="264">
        <f t="shared" si="53"/>
        <v>0</v>
      </c>
      <c r="BM93" s="264">
        <f t="shared" si="53"/>
        <v>0</v>
      </c>
      <c r="BN93" s="264">
        <f t="shared" si="53"/>
        <v>0</v>
      </c>
      <c r="BO93" s="264">
        <f t="shared" si="53"/>
        <v>0</v>
      </c>
      <c r="BP93" s="264">
        <f t="shared" si="53"/>
        <v>38913.791999999987</v>
      </c>
      <c r="BQ93" s="264">
        <f t="shared" si="53"/>
        <v>2134.7519999999995</v>
      </c>
      <c r="BR93" s="264">
        <f t="shared" si="53"/>
        <v>1892.6800000000003</v>
      </c>
      <c r="BS93" s="264">
        <f t="shared" ref="BS93:BU93" si="54">SUMIF($D$8:$D$89,"*пан.",BS8:BS89)</f>
        <v>32034.501999999997</v>
      </c>
      <c r="BT93" s="264">
        <f t="shared" si="54"/>
        <v>31538.500000000007</v>
      </c>
      <c r="BU93" s="264">
        <f t="shared" si="54"/>
        <v>31828.600000000009</v>
      </c>
      <c r="BV93" s="264"/>
      <c r="BW93" s="264"/>
      <c r="BX93" s="264"/>
      <c r="BY93" s="264">
        <f t="shared" ref="BY93:EF93" si="55">SUMIF($D$8:$D$89,"*пан.",BY8:BY89)</f>
        <v>0</v>
      </c>
      <c r="BZ93" s="264">
        <f t="shared" si="55"/>
        <v>0</v>
      </c>
      <c r="CA93" s="264">
        <f t="shared" si="55"/>
        <v>0</v>
      </c>
      <c r="CB93" s="264">
        <f t="shared" si="55"/>
        <v>0</v>
      </c>
      <c r="CC93" s="264">
        <f t="shared" si="55"/>
        <v>0</v>
      </c>
      <c r="CD93" s="264">
        <f t="shared" si="55"/>
        <v>0</v>
      </c>
      <c r="CE93" s="264">
        <f t="shared" si="55"/>
        <v>0</v>
      </c>
      <c r="CF93" s="264">
        <f t="shared" si="55"/>
        <v>0</v>
      </c>
      <c r="CG93" s="264">
        <f t="shared" si="55"/>
        <v>0</v>
      </c>
      <c r="CH93" s="264">
        <f t="shared" si="55"/>
        <v>0</v>
      </c>
      <c r="CI93" s="264">
        <f t="shared" si="55"/>
        <v>0</v>
      </c>
      <c r="CJ93" s="264">
        <f t="shared" si="55"/>
        <v>0</v>
      </c>
      <c r="CK93" s="264">
        <f t="shared" si="55"/>
        <v>0</v>
      </c>
      <c r="CL93" s="264">
        <f t="shared" si="55"/>
        <v>0</v>
      </c>
      <c r="CM93" s="264">
        <f t="shared" si="55"/>
        <v>0</v>
      </c>
      <c r="CN93" s="264">
        <f t="shared" si="55"/>
        <v>0</v>
      </c>
      <c r="CO93" s="264">
        <f t="shared" si="55"/>
        <v>0</v>
      </c>
      <c r="CP93" s="264">
        <f t="shared" si="55"/>
        <v>0</v>
      </c>
      <c r="CQ93" s="264">
        <f t="shared" si="55"/>
        <v>0</v>
      </c>
      <c r="CR93" s="264">
        <f t="shared" si="55"/>
        <v>0</v>
      </c>
      <c r="CS93" s="264">
        <f t="shared" si="55"/>
        <v>0</v>
      </c>
      <c r="CT93" s="264">
        <f t="shared" si="55"/>
        <v>0</v>
      </c>
      <c r="CU93" s="264">
        <f t="shared" si="55"/>
        <v>0</v>
      </c>
      <c r="CV93" s="264">
        <f t="shared" si="55"/>
        <v>0</v>
      </c>
      <c r="CW93" s="264">
        <f t="shared" si="55"/>
        <v>0</v>
      </c>
      <c r="CX93" s="264">
        <f t="shared" si="55"/>
        <v>0</v>
      </c>
      <c r="CY93" s="264">
        <f t="shared" si="55"/>
        <v>0</v>
      </c>
      <c r="CZ93" s="264">
        <f t="shared" si="55"/>
        <v>0</v>
      </c>
      <c r="DA93" s="264">
        <f t="shared" si="55"/>
        <v>0</v>
      </c>
      <c r="DB93" s="264">
        <f t="shared" si="55"/>
        <v>0</v>
      </c>
      <c r="DC93" s="264">
        <f t="shared" si="55"/>
        <v>0</v>
      </c>
      <c r="DD93" s="264">
        <f t="shared" si="55"/>
        <v>0</v>
      </c>
      <c r="DE93" s="264">
        <f t="shared" si="55"/>
        <v>0</v>
      </c>
      <c r="DF93" s="264">
        <f t="shared" si="55"/>
        <v>0</v>
      </c>
      <c r="DG93" s="264">
        <f t="shared" si="55"/>
        <v>0</v>
      </c>
      <c r="DH93" s="264">
        <f t="shared" si="55"/>
        <v>0</v>
      </c>
      <c r="DI93" s="264">
        <f t="shared" si="55"/>
        <v>0</v>
      </c>
      <c r="DJ93" s="264">
        <f t="shared" si="55"/>
        <v>0</v>
      </c>
      <c r="DK93" s="264">
        <f t="shared" si="55"/>
        <v>0</v>
      </c>
      <c r="DL93" s="264">
        <f t="shared" si="55"/>
        <v>0</v>
      </c>
      <c r="DM93" s="264">
        <f t="shared" si="55"/>
        <v>0</v>
      </c>
      <c r="DN93" s="264">
        <f t="shared" si="55"/>
        <v>0</v>
      </c>
      <c r="DO93" s="264">
        <f t="shared" si="55"/>
        <v>0</v>
      </c>
      <c r="DP93" s="264">
        <f t="shared" si="55"/>
        <v>0</v>
      </c>
      <c r="DQ93" s="264">
        <f t="shared" si="55"/>
        <v>0</v>
      </c>
      <c r="DR93" s="264">
        <f t="shared" si="55"/>
        <v>0</v>
      </c>
      <c r="DS93" s="264">
        <f t="shared" si="55"/>
        <v>0</v>
      </c>
      <c r="DT93" s="264">
        <f t="shared" si="55"/>
        <v>0</v>
      </c>
      <c r="DU93" s="264">
        <f t="shared" si="55"/>
        <v>0</v>
      </c>
      <c r="DV93" s="264">
        <f t="shared" si="55"/>
        <v>0</v>
      </c>
      <c r="DW93" s="264">
        <f t="shared" si="55"/>
        <v>0</v>
      </c>
      <c r="DX93" s="264">
        <f t="shared" si="55"/>
        <v>0</v>
      </c>
      <c r="DY93" s="264">
        <f t="shared" si="55"/>
        <v>0</v>
      </c>
      <c r="DZ93" s="264">
        <f t="shared" si="55"/>
        <v>0</v>
      </c>
      <c r="EA93" s="264">
        <f t="shared" si="55"/>
        <v>0</v>
      </c>
      <c r="EB93" s="264">
        <f t="shared" si="55"/>
        <v>0</v>
      </c>
      <c r="EC93" s="264">
        <f t="shared" si="55"/>
        <v>1046.72</v>
      </c>
      <c r="ED93" s="264">
        <f t="shared" si="55"/>
        <v>40.520000000000003</v>
      </c>
      <c r="EE93" s="264">
        <f t="shared" si="55"/>
        <v>0</v>
      </c>
      <c r="EF93" s="264">
        <f t="shared" si="55"/>
        <v>0</v>
      </c>
      <c r="EG93" s="265"/>
      <c r="EH93" s="265">
        <f>SUM(EH8:EH89)</f>
        <v>197441.7</v>
      </c>
      <c r="EI93" s="265">
        <f>SUM(EI8:EI89)</f>
        <v>44.8</v>
      </c>
      <c r="EJ93" s="266">
        <f>SUM(EJ8:EJ92)</f>
        <v>60.8</v>
      </c>
      <c r="EK93" s="266">
        <f>SUM(EK8:EK92)</f>
        <v>8263.7000000000007</v>
      </c>
      <c r="EL93" s="265">
        <f>SUM(EL8:EL89)</f>
        <v>187497.49999999994</v>
      </c>
      <c r="EM93" s="266">
        <f>SUM(EM8:EM92)</f>
        <v>0</v>
      </c>
      <c r="EN93" s="266"/>
      <c r="EO93" s="266"/>
      <c r="EP93" s="266"/>
      <c r="EQ93" s="267"/>
      <c r="ER93" s="268"/>
      <c r="ES93" s="269"/>
      <c r="ET93" s="269"/>
      <c r="EU93" s="270"/>
    </row>
    <row r="94" spans="1:151">
      <c r="A94" s="261"/>
      <c r="B94" s="262" t="s">
        <v>199</v>
      </c>
      <c r="C94" s="262"/>
      <c r="D94" s="262"/>
      <c r="E94" s="264"/>
      <c r="F94" s="264"/>
      <c r="G94" s="271">
        <f t="shared" ref="G94:BR94" si="56">SUMIF($D$8:$D$89,"крупноблочные",G8:G89)</f>
        <v>32</v>
      </c>
      <c r="H94" s="271">
        <f t="shared" si="56"/>
        <v>12</v>
      </c>
      <c r="I94" s="271">
        <f t="shared" si="56"/>
        <v>230</v>
      </c>
      <c r="J94" s="271">
        <f t="shared" si="56"/>
        <v>443</v>
      </c>
      <c r="K94" s="271">
        <f t="shared" si="56"/>
        <v>230</v>
      </c>
      <c r="L94" s="271">
        <f t="shared" si="56"/>
        <v>419</v>
      </c>
      <c r="M94" s="271">
        <f t="shared" si="56"/>
        <v>11826.900000000001</v>
      </c>
      <c r="N94" s="271">
        <f t="shared" si="56"/>
        <v>522.70000000000005</v>
      </c>
      <c r="O94" s="271">
        <f t="shared" si="56"/>
        <v>12349.599999999999</v>
      </c>
      <c r="P94" s="271">
        <f t="shared" si="56"/>
        <v>0</v>
      </c>
      <c r="Q94" s="271">
        <f t="shared" si="56"/>
        <v>44.5</v>
      </c>
      <c r="R94" s="271">
        <f t="shared" si="56"/>
        <v>6628</v>
      </c>
      <c r="S94" s="271">
        <f t="shared" si="56"/>
        <v>324.8</v>
      </c>
      <c r="T94" s="271">
        <f t="shared" si="56"/>
        <v>6952.7999999999993</v>
      </c>
      <c r="U94" s="271">
        <f t="shared" si="56"/>
        <v>0</v>
      </c>
      <c r="V94" s="271">
        <f t="shared" si="56"/>
        <v>28.7</v>
      </c>
      <c r="W94" s="271">
        <f t="shared" si="56"/>
        <v>12394.099999999999</v>
      </c>
      <c r="X94" s="271">
        <f t="shared" si="56"/>
        <v>6981.5</v>
      </c>
      <c r="Y94" s="271">
        <f t="shared" si="56"/>
        <v>12394.099999999999</v>
      </c>
      <c r="Z94" s="271">
        <f t="shared" si="56"/>
        <v>6981.5</v>
      </c>
      <c r="AA94" s="271">
        <f t="shared" si="56"/>
        <v>0</v>
      </c>
      <c r="AB94" s="271">
        <f t="shared" si="56"/>
        <v>0</v>
      </c>
      <c r="AC94" s="271">
        <f t="shared" si="56"/>
        <v>12394.099999999999</v>
      </c>
      <c r="AD94" s="271">
        <f t="shared" si="56"/>
        <v>6981.5</v>
      </c>
      <c r="AE94" s="271">
        <f t="shared" si="56"/>
        <v>0</v>
      </c>
      <c r="AF94" s="271">
        <f t="shared" si="56"/>
        <v>0</v>
      </c>
      <c r="AG94" s="271">
        <f t="shared" si="56"/>
        <v>0</v>
      </c>
      <c r="AH94" s="271">
        <f t="shared" si="56"/>
        <v>0</v>
      </c>
      <c r="AI94" s="271">
        <f t="shared" si="56"/>
        <v>0</v>
      </c>
      <c r="AJ94" s="271">
        <f t="shared" si="56"/>
        <v>0</v>
      </c>
      <c r="AK94" s="271">
        <f t="shared" si="56"/>
        <v>12394.099999999999</v>
      </c>
      <c r="AL94" s="271">
        <f t="shared" si="56"/>
        <v>6981.5</v>
      </c>
      <c r="AM94" s="271">
        <f t="shared" si="56"/>
        <v>0</v>
      </c>
      <c r="AN94" s="271">
        <f t="shared" si="56"/>
        <v>0</v>
      </c>
      <c r="AO94" s="271">
        <f t="shared" si="56"/>
        <v>2776.8</v>
      </c>
      <c r="AP94" s="271">
        <f t="shared" si="56"/>
        <v>1441.7</v>
      </c>
      <c r="AQ94" s="271">
        <f t="shared" si="56"/>
        <v>9617.2999999999993</v>
      </c>
      <c r="AR94" s="271">
        <f t="shared" si="56"/>
        <v>5539.8</v>
      </c>
      <c r="AS94" s="271">
        <f t="shared" si="56"/>
        <v>4802.1000000000004</v>
      </c>
      <c r="AT94" s="271">
        <f t="shared" si="56"/>
        <v>2851.9</v>
      </c>
      <c r="AU94" s="271">
        <f t="shared" si="56"/>
        <v>2776.8</v>
      </c>
      <c r="AV94" s="271">
        <f t="shared" si="56"/>
        <v>1441.7</v>
      </c>
      <c r="AW94" s="271">
        <f t="shared" si="56"/>
        <v>0</v>
      </c>
      <c r="AX94" s="271">
        <f t="shared" si="56"/>
        <v>0</v>
      </c>
      <c r="AY94" s="271">
        <f t="shared" si="56"/>
        <v>99</v>
      </c>
      <c r="AZ94" s="271">
        <f t="shared" si="56"/>
        <v>49316662</v>
      </c>
      <c r="BA94" s="271">
        <f t="shared" si="56"/>
        <v>0</v>
      </c>
      <c r="BB94" s="271">
        <f t="shared" si="56"/>
        <v>1375.6999999999998</v>
      </c>
      <c r="BC94" s="271">
        <f t="shared" si="56"/>
        <v>0</v>
      </c>
      <c r="BD94" s="271">
        <f t="shared" si="56"/>
        <v>74.3</v>
      </c>
      <c r="BE94" s="271">
        <f t="shared" si="56"/>
        <v>0</v>
      </c>
      <c r="BF94" s="271">
        <f t="shared" si="56"/>
        <v>0</v>
      </c>
      <c r="BG94" s="271">
        <f t="shared" si="56"/>
        <v>1310.4000000000001</v>
      </c>
      <c r="BH94" s="271">
        <f t="shared" si="56"/>
        <v>0</v>
      </c>
      <c r="BI94" s="271">
        <f t="shared" si="56"/>
        <v>0</v>
      </c>
      <c r="BJ94" s="271">
        <f t="shared" si="56"/>
        <v>0</v>
      </c>
      <c r="BK94" s="271">
        <f t="shared" si="56"/>
        <v>0</v>
      </c>
      <c r="BL94" s="271">
        <f t="shared" si="56"/>
        <v>0</v>
      </c>
      <c r="BM94" s="271">
        <f t="shared" si="56"/>
        <v>0</v>
      </c>
      <c r="BN94" s="271">
        <f t="shared" si="56"/>
        <v>0</v>
      </c>
      <c r="BO94" s="271">
        <f t="shared" si="56"/>
        <v>0</v>
      </c>
      <c r="BP94" s="271">
        <f t="shared" si="56"/>
        <v>2748.7336000000005</v>
      </c>
      <c r="BQ94" s="271">
        <f t="shared" si="56"/>
        <v>0</v>
      </c>
      <c r="BR94" s="271">
        <f t="shared" si="56"/>
        <v>1178.2003999999999</v>
      </c>
      <c r="BS94" s="271">
        <f t="shared" ref="BS94:BU94" si="57">SUMIF($D$8:$D$89,"крупноблочные",BS8:BS89)</f>
        <v>1570.5332000000001</v>
      </c>
      <c r="BT94" s="271">
        <f t="shared" si="57"/>
        <v>2286.8000000000002</v>
      </c>
      <c r="BU94" s="271">
        <f t="shared" si="57"/>
        <v>1633.1</v>
      </c>
      <c r="BV94" s="271"/>
      <c r="BW94" s="271"/>
      <c r="BX94" s="271"/>
      <c r="BY94" s="271">
        <f t="shared" ref="BY94:EF94" si="58">SUMIF($D$8:$D$89,"крупноблочные",BY8:BY89)</f>
        <v>0</v>
      </c>
      <c r="BZ94" s="271">
        <f t="shared" si="58"/>
        <v>0</v>
      </c>
      <c r="CA94" s="271">
        <f t="shared" si="58"/>
        <v>0</v>
      </c>
      <c r="CB94" s="271">
        <f t="shared" si="58"/>
        <v>0</v>
      </c>
      <c r="CC94" s="271">
        <f t="shared" si="58"/>
        <v>0</v>
      </c>
      <c r="CD94" s="271">
        <f t="shared" si="58"/>
        <v>0</v>
      </c>
      <c r="CE94" s="271">
        <f t="shared" si="58"/>
        <v>0</v>
      </c>
      <c r="CF94" s="271">
        <f t="shared" si="58"/>
        <v>0</v>
      </c>
      <c r="CG94" s="271">
        <f t="shared" si="58"/>
        <v>0</v>
      </c>
      <c r="CH94" s="271">
        <f t="shared" si="58"/>
        <v>0</v>
      </c>
      <c r="CI94" s="271">
        <f t="shared" si="58"/>
        <v>0</v>
      </c>
      <c r="CJ94" s="271">
        <f t="shared" si="58"/>
        <v>0</v>
      </c>
      <c r="CK94" s="271">
        <f t="shared" si="58"/>
        <v>0</v>
      </c>
      <c r="CL94" s="271">
        <f t="shared" si="58"/>
        <v>0</v>
      </c>
      <c r="CM94" s="271">
        <f t="shared" si="58"/>
        <v>0</v>
      </c>
      <c r="CN94" s="271">
        <f t="shared" si="58"/>
        <v>0</v>
      </c>
      <c r="CO94" s="271">
        <f t="shared" si="58"/>
        <v>0</v>
      </c>
      <c r="CP94" s="271">
        <f t="shared" si="58"/>
        <v>0</v>
      </c>
      <c r="CQ94" s="271">
        <f t="shared" si="58"/>
        <v>0</v>
      </c>
      <c r="CR94" s="271">
        <f t="shared" si="58"/>
        <v>0</v>
      </c>
      <c r="CS94" s="271">
        <f t="shared" si="58"/>
        <v>0</v>
      </c>
      <c r="CT94" s="271">
        <f t="shared" si="58"/>
        <v>0</v>
      </c>
      <c r="CU94" s="271">
        <f t="shared" si="58"/>
        <v>0</v>
      </c>
      <c r="CV94" s="271">
        <f t="shared" si="58"/>
        <v>0</v>
      </c>
      <c r="CW94" s="271">
        <f t="shared" si="58"/>
        <v>0</v>
      </c>
      <c r="CX94" s="271">
        <f t="shared" si="58"/>
        <v>0</v>
      </c>
      <c r="CY94" s="271">
        <f t="shared" si="58"/>
        <v>0</v>
      </c>
      <c r="CZ94" s="271">
        <f t="shared" si="58"/>
        <v>0</v>
      </c>
      <c r="DA94" s="271">
        <f t="shared" si="58"/>
        <v>0</v>
      </c>
      <c r="DB94" s="271">
        <f t="shared" si="58"/>
        <v>0</v>
      </c>
      <c r="DC94" s="271">
        <f t="shared" si="58"/>
        <v>0</v>
      </c>
      <c r="DD94" s="271">
        <f t="shared" si="58"/>
        <v>0</v>
      </c>
      <c r="DE94" s="271">
        <f t="shared" si="58"/>
        <v>0</v>
      </c>
      <c r="DF94" s="271">
        <f t="shared" si="58"/>
        <v>0</v>
      </c>
      <c r="DG94" s="271">
        <f t="shared" si="58"/>
        <v>0</v>
      </c>
      <c r="DH94" s="271">
        <f t="shared" si="58"/>
        <v>0</v>
      </c>
      <c r="DI94" s="271">
        <f t="shared" si="58"/>
        <v>0</v>
      </c>
      <c r="DJ94" s="271">
        <f t="shared" si="58"/>
        <v>0</v>
      </c>
      <c r="DK94" s="271">
        <f t="shared" si="58"/>
        <v>0</v>
      </c>
      <c r="DL94" s="271">
        <f t="shared" si="58"/>
        <v>0</v>
      </c>
      <c r="DM94" s="271">
        <f t="shared" si="58"/>
        <v>0</v>
      </c>
      <c r="DN94" s="271">
        <f t="shared" si="58"/>
        <v>0</v>
      </c>
      <c r="DO94" s="271">
        <f t="shared" si="58"/>
        <v>0</v>
      </c>
      <c r="DP94" s="271">
        <f t="shared" si="58"/>
        <v>0</v>
      </c>
      <c r="DQ94" s="271">
        <f t="shared" si="58"/>
        <v>0</v>
      </c>
      <c r="DR94" s="271">
        <f t="shared" si="58"/>
        <v>0</v>
      </c>
      <c r="DS94" s="271">
        <f t="shared" si="58"/>
        <v>0</v>
      </c>
      <c r="DT94" s="271">
        <f t="shared" si="58"/>
        <v>0</v>
      </c>
      <c r="DU94" s="271">
        <f t="shared" si="58"/>
        <v>0</v>
      </c>
      <c r="DV94" s="271">
        <f t="shared" si="58"/>
        <v>0</v>
      </c>
      <c r="DW94" s="271">
        <f t="shared" si="58"/>
        <v>0</v>
      </c>
      <c r="DX94" s="271">
        <f t="shared" si="58"/>
        <v>0</v>
      </c>
      <c r="DY94" s="271">
        <f t="shared" si="58"/>
        <v>0</v>
      </c>
      <c r="DZ94" s="271">
        <f t="shared" si="58"/>
        <v>0</v>
      </c>
      <c r="EA94" s="271">
        <f t="shared" si="58"/>
        <v>0</v>
      </c>
      <c r="EB94" s="271">
        <f t="shared" si="58"/>
        <v>0</v>
      </c>
      <c r="EC94" s="271">
        <f t="shared" si="58"/>
        <v>112.76</v>
      </c>
      <c r="ED94" s="271">
        <f t="shared" si="58"/>
        <v>0</v>
      </c>
      <c r="EE94" s="271">
        <f t="shared" si="58"/>
        <v>0</v>
      </c>
      <c r="EF94" s="271">
        <f t="shared" si="58"/>
        <v>0</v>
      </c>
      <c r="EG94" s="265"/>
      <c r="EH94" s="265"/>
      <c r="EI94" s="265"/>
      <c r="EJ94" s="266"/>
      <c r="EK94" s="266"/>
      <c r="EL94" s="266"/>
      <c r="EM94" s="266" t="s">
        <v>200</v>
      </c>
      <c r="EN94" s="272">
        <f>EN11+EN12+EN15+EN21+EN22+EN23+EN24+EN25+EN28+EN31+EN32+EN37+EN67+EN69</f>
        <v>1140026.6900000002</v>
      </c>
      <c r="EO94" s="266"/>
      <c r="EP94" s="272">
        <f>EP11+EP12+EP15+EP21+EP22+EP23+EP24+EP25+EP28+EP31+EP32+EP37+EP67+EP69</f>
        <v>0</v>
      </c>
      <c r="EQ94" s="273"/>
      <c r="ER94" s="268"/>
      <c r="ES94" s="274"/>
      <c r="ET94" s="269"/>
      <c r="EU94" s="270"/>
    </row>
    <row r="95" spans="1:151">
      <c r="A95" s="261"/>
      <c r="B95" s="262" t="s">
        <v>201</v>
      </c>
      <c r="C95" s="262"/>
      <c r="D95" s="263"/>
      <c r="E95" s="264"/>
      <c r="F95" s="275"/>
      <c r="G95" s="271">
        <f t="shared" ref="G95:BR95" si="59">SUMIF($D$8:$D$89,"*шлак*",G8:G89)</f>
        <v>108</v>
      </c>
      <c r="H95" s="271">
        <f t="shared" si="59"/>
        <v>50</v>
      </c>
      <c r="I95" s="271">
        <f t="shared" si="59"/>
        <v>842</v>
      </c>
      <c r="J95" s="271">
        <f t="shared" si="59"/>
        <v>1600</v>
      </c>
      <c r="K95" s="271">
        <f t="shared" si="59"/>
        <v>926</v>
      </c>
      <c r="L95" s="271">
        <f t="shared" si="59"/>
        <v>1619</v>
      </c>
      <c r="M95" s="271">
        <f t="shared" si="59"/>
        <v>35087.9</v>
      </c>
      <c r="N95" s="271">
        <f t="shared" si="59"/>
        <v>2896.9</v>
      </c>
      <c r="O95" s="271">
        <f t="shared" si="59"/>
        <v>37984.800000000003</v>
      </c>
      <c r="P95" s="271">
        <f t="shared" si="59"/>
        <v>0</v>
      </c>
      <c r="Q95" s="271">
        <f t="shared" si="59"/>
        <v>0</v>
      </c>
      <c r="R95" s="271">
        <f t="shared" si="59"/>
        <v>22456.100000000006</v>
      </c>
      <c r="S95" s="271">
        <f t="shared" si="59"/>
        <v>1960.3000000000002</v>
      </c>
      <c r="T95" s="271">
        <f t="shared" si="59"/>
        <v>24416.400000000001</v>
      </c>
      <c r="U95" s="271">
        <f t="shared" si="59"/>
        <v>0</v>
      </c>
      <c r="V95" s="271">
        <f t="shared" si="59"/>
        <v>0</v>
      </c>
      <c r="W95" s="271">
        <f t="shared" si="59"/>
        <v>37984.800000000003</v>
      </c>
      <c r="X95" s="271">
        <f t="shared" si="59"/>
        <v>24416.400000000001</v>
      </c>
      <c r="Y95" s="271">
        <f t="shared" si="59"/>
        <v>37984.800000000003</v>
      </c>
      <c r="Z95" s="271">
        <f t="shared" si="59"/>
        <v>24416.400000000001</v>
      </c>
      <c r="AA95" s="271">
        <f t="shared" si="59"/>
        <v>0</v>
      </c>
      <c r="AB95" s="271">
        <f t="shared" si="59"/>
        <v>0</v>
      </c>
      <c r="AC95" s="271">
        <f t="shared" si="59"/>
        <v>34475.300000000003</v>
      </c>
      <c r="AD95" s="271">
        <f t="shared" si="59"/>
        <v>22373.5</v>
      </c>
      <c r="AE95" s="271">
        <f t="shared" si="59"/>
        <v>0</v>
      </c>
      <c r="AF95" s="271">
        <f t="shared" si="59"/>
        <v>0</v>
      </c>
      <c r="AG95" s="271">
        <f t="shared" si="59"/>
        <v>1438</v>
      </c>
      <c r="AH95" s="271">
        <f t="shared" si="59"/>
        <v>786.7</v>
      </c>
      <c r="AI95" s="271">
        <f t="shared" si="59"/>
        <v>0</v>
      </c>
      <c r="AJ95" s="271">
        <f t="shared" si="59"/>
        <v>0</v>
      </c>
      <c r="AK95" s="271">
        <f t="shared" si="59"/>
        <v>36590.899999999994</v>
      </c>
      <c r="AL95" s="271">
        <f t="shared" si="59"/>
        <v>23051.500000000004</v>
      </c>
      <c r="AM95" s="271">
        <f t="shared" si="59"/>
        <v>0</v>
      </c>
      <c r="AN95" s="271">
        <f t="shared" si="59"/>
        <v>0</v>
      </c>
      <c r="AO95" s="271">
        <f t="shared" si="59"/>
        <v>3539</v>
      </c>
      <c r="AP95" s="271">
        <f t="shared" si="59"/>
        <v>2060.8000000000002</v>
      </c>
      <c r="AQ95" s="271">
        <f t="shared" si="59"/>
        <v>32078.5</v>
      </c>
      <c r="AR95" s="271">
        <f t="shared" si="59"/>
        <v>20370.400000000001</v>
      </c>
      <c r="AS95" s="271">
        <f t="shared" si="59"/>
        <v>13341.100000000002</v>
      </c>
      <c r="AT95" s="271">
        <f t="shared" si="59"/>
        <v>8249.9</v>
      </c>
      <c r="AU95" s="271">
        <f t="shared" si="59"/>
        <v>2101</v>
      </c>
      <c r="AV95" s="271">
        <f t="shared" si="59"/>
        <v>1274.0999999999999</v>
      </c>
      <c r="AW95" s="271">
        <f t="shared" si="59"/>
        <v>2101</v>
      </c>
      <c r="AX95" s="271">
        <f t="shared" si="59"/>
        <v>1274.0999999999999</v>
      </c>
      <c r="AY95" s="271">
        <f t="shared" si="59"/>
        <v>291</v>
      </c>
      <c r="AZ95" s="271">
        <f t="shared" si="59"/>
        <v>203278984</v>
      </c>
      <c r="BA95" s="271">
        <f t="shared" si="59"/>
        <v>513.4</v>
      </c>
      <c r="BB95" s="271">
        <f t="shared" si="59"/>
        <v>2946.6000000000004</v>
      </c>
      <c r="BC95" s="271">
        <f t="shared" si="59"/>
        <v>0</v>
      </c>
      <c r="BD95" s="271">
        <f t="shared" si="59"/>
        <v>3.4</v>
      </c>
      <c r="BE95" s="271">
        <f t="shared" si="59"/>
        <v>73.3</v>
      </c>
      <c r="BF95" s="271">
        <f t="shared" si="59"/>
        <v>0</v>
      </c>
      <c r="BG95" s="271">
        <f t="shared" si="59"/>
        <v>4153.75</v>
      </c>
      <c r="BH95" s="271">
        <f t="shared" si="59"/>
        <v>0</v>
      </c>
      <c r="BI95" s="271">
        <f t="shared" si="59"/>
        <v>0</v>
      </c>
      <c r="BJ95" s="271">
        <f t="shared" si="59"/>
        <v>443</v>
      </c>
      <c r="BK95" s="271">
        <f t="shared" si="59"/>
        <v>0</v>
      </c>
      <c r="BL95" s="271">
        <f t="shared" si="59"/>
        <v>0</v>
      </c>
      <c r="BM95" s="271">
        <f t="shared" si="59"/>
        <v>0</v>
      </c>
      <c r="BN95" s="271">
        <f t="shared" si="59"/>
        <v>0</v>
      </c>
      <c r="BO95" s="271">
        <f t="shared" si="59"/>
        <v>0</v>
      </c>
      <c r="BP95" s="271">
        <f t="shared" si="59"/>
        <v>11242.427400000004</v>
      </c>
      <c r="BQ95" s="271">
        <f t="shared" si="59"/>
        <v>997.05899999999997</v>
      </c>
      <c r="BR95" s="271">
        <f t="shared" si="59"/>
        <v>999.82359999999994</v>
      </c>
      <c r="BS95" s="271">
        <f t="shared" ref="BS95:BU95" si="60">SUMIF($D$8:$D$89,"*шлак*",BS8:BS89)</f>
        <v>1272.6776</v>
      </c>
      <c r="BT95" s="271">
        <f t="shared" si="60"/>
        <v>9111.0999999999985</v>
      </c>
      <c r="BU95" s="271">
        <f t="shared" si="60"/>
        <v>8344.2999999999993</v>
      </c>
      <c r="BV95" s="271"/>
      <c r="BW95" s="271"/>
      <c r="BX95" s="271"/>
      <c r="BY95" s="271">
        <f t="shared" ref="BY95:EF95" si="61">SUMIF($D$8:$D$89,"*шлак*",BY8:BY89)</f>
        <v>0</v>
      </c>
      <c r="BZ95" s="271">
        <f t="shared" si="61"/>
        <v>0</v>
      </c>
      <c r="CA95" s="271">
        <f t="shared" si="61"/>
        <v>0</v>
      </c>
      <c r="CB95" s="271">
        <f t="shared" si="61"/>
        <v>0</v>
      </c>
      <c r="CC95" s="271">
        <f t="shared" si="61"/>
        <v>0</v>
      </c>
      <c r="CD95" s="271">
        <f t="shared" si="61"/>
        <v>0</v>
      </c>
      <c r="CE95" s="271">
        <f t="shared" si="61"/>
        <v>0</v>
      </c>
      <c r="CF95" s="271">
        <f t="shared" si="61"/>
        <v>0</v>
      </c>
      <c r="CG95" s="271">
        <f t="shared" si="61"/>
        <v>0</v>
      </c>
      <c r="CH95" s="271">
        <f t="shared" si="61"/>
        <v>0</v>
      </c>
      <c r="CI95" s="271">
        <f t="shared" si="61"/>
        <v>0</v>
      </c>
      <c r="CJ95" s="271">
        <f t="shared" si="61"/>
        <v>0</v>
      </c>
      <c r="CK95" s="271">
        <f t="shared" si="61"/>
        <v>0</v>
      </c>
      <c r="CL95" s="271">
        <f t="shared" si="61"/>
        <v>0</v>
      </c>
      <c r="CM95" s="271">
        <f t="shared" si="61"/>
        <v>0</v>
      </c>
      <c r="CN95" s="271">
        <f t="shared" si="61"/>
        <v>0</v>
      </c>
      <c r="CO95" s="271">
        <f t="shared" si="61"/>
        <v>0</v>
      </c>
      <c r="CP95" s="271">
        <f t="shared" si="61"/>
        <v>0</v>
      </c>
      <c r="CQ95" s="271">
        <f t="shared" si="61"/>
        <v>0</v>
      </c>
      <c r="CR95" s="271">
        <f t="shared" si="61"/>
        <v>0</v>
      </c>
      <c r="CS95" s="271">
        <f t="shared" si="61"/>
        <v>0</v>
      </c>
      <c r="CT95" s="271">
        <f t="shared" si="61"/>
        <v>0</v>
      </c>
      <c r="CU95" s="271">
        <f t="shared" si="61"/>
        <v>0</v>
      </c>
      <c r="CV95" s="271">
        <f t="shared" si="61"/>
        <v>0</v>
      </c>
      <c r="CW95" s="271">
        <f t="shared" si="61"/>
        <v>0</v>
      </c>
      <c r="CX95" s="271">
        <f t="shared" si="61"/>
        <v>0</v>
      </c>
      <c r="CY95" s="271">
        <f t="shared" si="61"/>
        <v>0</v>
      </c>
      <c r="CZ95" s="271">
        <f t="shared" si="61"/>
        <v>0</v>
      </c>
      <c r="DA95" s="271">
        <f t="shared" si="61"/>
        <v>0</v>
      </c>
      <c r="DB95" s="271">
        <f t="shared" si="61"/>
        <v>0</v>
      </c>
      <c r="DC95" s="271">
        <f t="shared" si="61"/>
        <v>0</v>
      </c>
      <c r="DD95" s="271">
        <f t="shared" si="61"/>
        <v>0</v>
      </c>
      <c r="DE95" s="271">
        <f t="shared" si="61"/>
        <v>0</v>
      </c>
      <c r="DF95" s="271">
        <f t="shared" si="61"/>
        <v>0</v>
      </c>
      <c r="DG95" s="271">
        <f t="shared" si="61"/>
        <v>0</v>
      </c>
      <c r="DH95" s="271">
        <f t="shared" si="61"/>
        <v>0</v>
      </c>
      <c r="DI95" s="271">
        <f t="shared" si="61"/>
        <v>0</v>
      </c>
      <c r="DJ95" s="271">
        <f t="shared" si="61"/>
        <v>0</v>
      </c>
      <c r="DK95" s="271">
        <f t="shared" si="61"/>
        <v>0</v>
      </c>
      <c r="DL95" s="271">
        <f t="shared" si="61"/>
        <v>0</v>
      </c>
      <c r="DM95" s="271">
        <f t="shared" si="61"/>
        <v>0</v>
      </c>
      <c r="DN95" s="271">
        <f t="shared" si="61"/>
        <v>0</v>
      </c>
      <c r="DO95" s="271">
        <f t="shared" si="61"/>
        <v>0</v>
      </c>
      <c r="DP95" s="271">
        <f t="shared" si="61"/>
        <v>0</v>
      </c>
      <c r="DQ95" s="271">
        <f t="shared" si="61"/>
        <v>0</v>
      </c>
      <c r="DR95" s="271">
        <f t="shared" si="61"/>
        <v>0</v>
      </c>
      <c r="DS95" s="271">
        <f t="shared" si="61"/>
        <v>0</v>
      </c>
      <c r="DT95" s="271">
        <f t="shared" si="61"/>
        <v>0</v>
      </c>
      <c r="DU95" s="271">
        <f t="shared" si="61"/>
        <v>0</v>
      </c>
      <c r="DV95" s="271">
        <f t="shared" si="61"/>
        <v>0</v>
      </c>
      <c r="DW95" s="271">
        <f t="shared" si="61"/>
        <v>0</v>
      </c>
      <c r="DX95" s="271">
        <f t="shared" si="61"/>
        <v>0</v>
      </c>
      <c r="DY95" s="271">
        <f t="shared" si="61"/>
        <v>0</v>
      </c>
      <c r="DZ95" s="271">
        <f t="shared" si="61"/>
        <v>0</v>
      </c>
      <c r="EA95" s="271">
        <f t="shared" si="61"/>
        <v>0</v>
      </c>
      <c r="EB95" s="271">
        <f t="shared" si="61"/>
        <v>0</v>
      </c>
      <c r="EC95" s="271">
        <f t="shared" si="61"/>
        <v>542.74</v>
      </c>
      <c r="ED95" s="271">
        <f t="shared" si="61"/>
        <v>23.27</v>
      </c>
      <c r="EE95" s="271">
        <f t="shared" si="61"/>
        <v>0</v>
      </c>
      <c r="EF95" s="271">
        <f t="shared" si="61"/>
        <v>0</v>
      </c>
      <c r="EG95" s="265"/>
      <c r="EH95" s="265"/>
      <c r="EI95" s="265"/>
      <c r="EJ95" s="266"/>
      <c r="EK95" s="266"/>
      <c r="EL95" s="266"/>
      <c r="EM95" s="276" t="s">
        <v>202</v>
      </c>
      <c r="EN95" s="272">
        <f>EN92-EN94</f>
        <v>-1140026.6900000002</v>
      </c>
      <c r="EO95" s="272">
        <f>EO92</f>
        <v>0</v>
      </c>
      <c r="EP95" s="272">
        <f>EP92-EP94</f>
        <v>0</v>
      </c>
      <c r="EQ95" s="273"/>
      <c r="ER95" s="268"/>
      <c r="ES95" s="269"/>
      <c r="ET95" s="269"/>
      <c r="EU95" s="270"/>
    </row>
    <row r="96" spans="1:151">
      <c r="A96" s="224"/>
      <c r="B96" s="277"/>
      <c r="C96" s="277"/>
      <c r="D96" s="278"/>
      <c r="E96" s="57"/>
      <c r="F96" s="80"/>
      <c r="G96" s="80"/>
      <c r="H96" s="57"/>
      <c r="I96" s="117"/>
      <c r="J96" s="117"/>
      <c r="K96" s="117"/>
      <c r="L96" s="80"/>
      <c r="M96" s="80"/>
      <c r="N96" s="80"/>
      <c r="O96" s="76"/>
      <c r="P96" s="119"/>
      <c r="Q96" s="119"/>
      <c r="R96" s="279"/>
      <c r="S96" s="279"/>
      <c r="T96" s="57"/>
      <c r="U96" s="80"/>
      <c r="V96" s="80"/>
      <c r="W96" s="119"/>
      <c r="X96" s="119"/>
      <c r="Y96" s="119"/>
      <c r="Z96" s="119"/>
      <c r="AA96" s="119"/>
      <c r="AB96" s="119"/>
      <c r="AC96" s="119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197"/>
      <c r="AR96" s="197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280"/>
      <c r="BL96" s="80"/>
      <c r="BM96" s="80"/>
      <c r="BN96" s="80"/>
      <c r="BO96" s="80"/>
      <c r="BP96" s="81"/>
      <c r="BQ96" s="80"/>
      <c r="BR96" s="120"/>
      <c r="BS96" s="83"/>
      <c r="BT96" s="83"/>
      <c r="BU96" s="80"/>
      <c r="BV96" s="80"/>
      <c r="BW96" s="80"/>
      <c r="BX96" s="80"/>
      <c r="BY96" s="120"/>
      <c r="BZ96" s="86"/>
      <c r="CA96" s="121"/>
      <c r="CB96" s="86"/>
      <c r="CC96" s="120"/>
      <c r="CD96" s="120"/>
      <c r="CE96" s="120"/>
      <c r="CF96" s="120"/>
      <c r="CG96" s="80"/>
      <c r="CH96" s="117"/>
      <c r="CI96" s="80"/>
      <c r="CJ96" s="80"/>
      <c r="CK96" s="80"/>
      <c r="CL96" s="80"/>
      <c r="CM96" s="80"/>
      <c r="CN96" s="80"/>
      <c r="CO96" s="80"/>
      <c r="CP96" s="80"/>
      <c r="CQ96" s="80"/>
      <c r="CR96" s="120"/>
      <c r="CS96" s="80"/>
      <c r="CT96" s="80"/>
      <c r="CU96" s="80"/>
      <c r="CV96" s="86"/>
      <c r="CW96" s="117"/>
      <c r="CX96" s="117"/>
      <c r="CY96" s="80"/>
      <c r="CZ96" s="80"/>
      <c r="DA96" s="80"/>
      <c r="DB96" s="80"/>
      <c r="DC96" s="120"/>
      <c r="DD96" s="120"/>
      <c r="DE96" s="80"/>
      <c r="DF96" s="80"/>
      <c r="DG96" s="80"/>
      <c r="DH96" s="120"/>
      <c r="DI96" s="80"/>
      <c r="DJ96" s="80"/>
      <c r="DK96" s="80"/>
      <c r="DL96" s="80"/>
      <c r="DM96" s="80"/>
      <c r="DN96" s="117"/>
      <c r="DO96" s="80"/>
      <c r="DP96" s="117"/>
      <c r="DQ96" s="117"/>
      <c r="DR96" s="80"/>
      <c r="DS96" s="120"/>
      <c r="DT96" s="120"/>
      <c r="DU96" s="80"/>
      <c r="DV96" s="86"/>
      <c r="DW96" s="80"/>
      <c r="DX96" s="120"/>
      <c r="DY96" s="80"/>
      <c r="DZ96" s="80"/>
      <c r="EA96" s="80"/>
      <c r="EB96" s="122"/>
      <c r="EC96" s="281"/>
      <c r="ED96" s="88"/>
      <c r="EE96" s="88"/>
      <c r="EF96" s="88"/>
      <c r="EG96" s="88"/>
      <c r="EH96" s="88"/>
      <c r="EI96" s="88"/>
      <c r="EJ96" s="225"/>
      <c r="EK96" s="225"/>
      <c r="EL96" s="225"/>
      <c r="EM96" s="225"/>
      <c r="EN96" s="225"/>
      <c r="EO96" s="225"/>
      <c r="EP96" s="225"/>
      <c r="EQ96" s="282"/>
      <c r="ER96" s="283"/>
      <c r="ES96" s="89"/>
      <c r="ET96" s="89"/>
      <c r="EU96" s="284"/>
    </row>
    <row r="97" spans="1:151">
      <c r="A97" s="224"/>
      <c r="B97" s="277"/>
      <c r="C97" s="277"/>
      <c r="D97" s="278"/>
      <c r="E97" s="57"/>
      <c r="F97" s="57"/>
      <c r="G97" s="57"/>
      <c r="H97" s="57"/>
      <c r="I97" s="75"/>
      <c r="J97" s="75"/>
      <c r="K97" s="75"/>
      <c r="L97" s="57"/>
      <c r="M97" s="57"/>
      <c r="N97" s="57"/>
      <c r="O97" s="76"/>
      <c r="P97" s="76"/>
      <c r="Q97" s="76"/>
      <c r="R97" s="279"/>
      <c r="S97" s="279"/>
      <c r="T97" s="57"/>
      <c r="U97" s="57"/>
      <c r="V97" s="57"/>
      <c r="W97" s="76"/>
      <c r="X97" s="76"/>
      <c r="Y97" s="76"/>
      <c r="Z97" s="76"/>
      <c r="AA97" s="76"/>
      <c r="AB97" s="76"/>
      <c r="AC97" s="76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79"/>
      <c r="AR97" s="79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280"/>
      <c r="BL97" s="57"/>
      <c r="BM97" s="57"/>
      <c r="BN97" s="57"/>
      <c r="BO97" s="57"/>
      <c r="BP97" s="81"/>
      <c r="BQ97" s="57"/>
      <c r="BR97" s="82"/>
      <c r="BS97" s="83"/>
      <c r="BT97" s="83"/>
      <c r="BU97" s="57"/>
      <c r="BV97" s="57"/>
      <c r="BW97" s="57"/>
      <c r="BX97" s="57"/>
      <c r="BY97" s="82"/>
      <c r="BZ97" s="57"/>
      <c r="CA97" s="57"/>
      <c r="CB97" s="57"/>
      <c r="CC97" s="82"/>
      <c r="CD97" s="82"/>
      <c r="CE97" s="82"/>
      <c r="CF97" s="82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84"/>
      <c r="CW97" s="84"/>
      <c r="CX97" s="57"/>
      <c r="CY97" s="57"/>
      <c r="CZ97" s="57"/>
      <c r="DA97" s="57"/>
      <c r="DB97" s="57"/>
      <c r="DC97" s="57"/>
      <c r="DD97" s="57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129"/>
      <c r="EC97" s="281"/>
      <c r="ED97" s="88"/>
      <c r="EE97" s="88"/>
      <c r="EF97" s="88"/>
      <c r="EG97" s="88"/>
      <c r="EH97" s="88"/>
      <c r="EI97" s="88"/>
      <c r="EJ97" s="225"/>
      <c r="EK97" s="225"/>
      <c r="EL97" s="225"/>
      <c r="EM97" s="225"/>
      <c r="EN97" s="225"/>
      <c r="EO97" s="225"/>
      <c r="EP97" s="225"/>
      <c r="EQ97" s="282"/>
      <c r="ER97" s="283"/>
      <c r="ES97" s="89"/>
      <c r="ET97" s="89"/>
      <c r="EU97" s="284"/>
    </row>
    <row r="98" spans="1:151">
      <c r="A98" s="224"/>
      <c r="B98" s="277"/>
      <c r="C98" s="277"/>
      <c r="D98" s="278"/>
      <c r="E98" s="57"/>
      <c r="F98" s="80"/>
      <c r="G98" s="80"/>
      <c r="H98" s="57"/>
      <c r="I98" s="117"/>
      <c r="J98" s="117"/>
      <c r="K98" s="117"/>
      <c r="L98" s="80"/>
      <c r="M98" s="80"/>
      <c r="N98" s="80"/>
      <c r="O98" s="76"/>
      <c r="P98" s="119"/>
      <c r="Q98" s="119"/>
      <c r="R98" s="285"/>
      <c r="S98" s="285"/>
      <c r="T98" s="57"/>
      <c r="U98" s="80"/>
      <c r="V98" s="80"/>
      <c r="W98" s="119"/>
      <c r="X98" s="119"/>
      <c r="Y98" s="119"/>
      <c r="Z98" s="119"/>
      <c r="AA98" s="119"/>
      <c r="AB98" s="119"/>
      <c r="AC98" s="119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197"/>
      <c r="AR98" s="197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118"/>
      <c r="BL98" s="80"/>
      <c r="BM98" s="80"/>
      <c r="BN98" s="80"/>
      <c r="BO98" s="80"/>
      <c r="BP98" s="81"/>
      <c r="BQ98" s="80"/>
      <c r="BR98" s="120"/>
      <c r="BS98" s="83"/>
      <c r="BT98" s="83"/>
      <c r="BU98" s="80"/>
      <c r="BV98" s="80"/>
      <c r="BW98" s="80"/>
      <c r="BX98" s="80"/>
      <c r="BY98" s="120"/>
      <c r="BZ98" s="86"/>
      <c r="CA98" s="121"/>
      <c r="CB98" s="86"/>
      <c r="CC98" s="120"/>
      <c r="CD98" s="120"/>
      <c r="CE98" s="120"/>
      <c r="CF98" s="120"/>
      <c r="CG98" s="80"/>
      <c r="CH98" s="117"/>
      <c r="CI98" s="80"/>
      <c r="CJ98" s="80"/>
      <c r="CK98" s="80"/>
      <c r="CL98" s="80"/>
      <c r="CM98" s="80"/>
      <c r="CN98" s="80"/>
      <c r="CO98" s="80"/>
      <c r="CP98" s="80"/>
      <c r="CQ98" s="80"/>
      <c r="CR98" s="120"/>
      <c r="CS98" s="80"/>
      <c r="CT98" s="80"/>
      <c r="CU98" s="80"/>
      <c r="CV98" s="86"/>
      <c r="CW98" s="117"/>
      <c r="CX98" s="117"/>
      <c r="CY98" s="80"/>
      <c r="CZ98" s="80"/>
      <c r="DA98" s="80"/>
      <c r="DB98" s="80"/>
      <c r="DC98" s="120"/>
      <c r="DD98" s="120"/>
      <c r="DE98" s="80"/>
      <c r="DF98" s="80"/>
      <c r="DG98" s="80"/>
      <c r="DH98" s="120"/>
      <c r="DI98" s="80"/>
      <c r="DJ98" s="80"/>
      <c r="DK98" s="80"/>
      <c r="DL98" s="80"/>
      <c r="DM98" s="80"/>
      <c r="DN98" s="117"/>
      <c r="DO98" s="80"/>
      <c r="DP98" s="117"/>
      <c r="DQ98" s="117"/>
      <c r="DR98" s="80"/>
      <c r="DS98" s="120"/>
      <c r="DT98" s="120"/>
      <c r="DU98" s="80"/>
      <c r="DV98" s="86"/>
      <c r="DW98" s="80"/>
      <c r="DX98" s="120"/>
      <c r="DY98" s="80"/>
      <c r="DZ98" s="80"/>
      <c r="EA98" s="80"/>
      <c r="EB98" s="122"/>
      <c r="EC98" s="281"/>
      <c r="ED98" s="88"/>
      <c r="EE98" s="88"/>
      <c r="EF98" s="88"/>
      <c r="EG98" s="88"/>
      <c r="EH98" s="88"/>
      <c r="EI98" s="88"/>
      <c r="EJ98" s="225"/>
      <c r="EK98" s="225"/>
      <c r="EL98" s="225"/>
      <c r="EM98" s="225"/>
      <c r="EN98" s="225"/>
      <c r="EO98" s="225"/>
      <c r="EP98" s="225"/>
      <c r="EQ98" s="282"/>
      <c r="ER98" s="283"/>
      <c r="ES98" s="89"/>
      <c r="ET98" s="89"/>
      <c r="EU98" s="284"/>
    </row>
    <row r="99" spans="1:151" ht="15.75" thickBot="1">
      <c r="A99" s="286"/>
      <c r="B99" s="287"/>
      <c r="C99" s="287"/>
      <c r="D99" s="288"/>
      <c r="E99" s="289"/>
      <c r="F99" s="289"/>
      <c r="G99" s="289"/>
      <c r="H99" s="289"/>
      <c r="I99" s="290"/>
      <c r="J99" s="290"/>
      <c r="K99" s="290"/>
      <c r="L99" s="289"/>
      <c r="M99" s="289"/>
      <c r="N99" s="289"/>
      <c r="O99" s="291"/>
      <c r="P99" s="291"/>
      <c r="Q99" s="291"/>
      <c r="R99" s="292"/>
      <c r="S99" s="292"/>
      <c r="T99" s="289"/>
      <c r="U99" s="289"/>
      <c r="V99" s="289"/>
      <c r="W99" s="291"/>
      <c r="X99" s="291"/>
      <c r="Y99" s="291"/>
      <c r="Z99" s="291"/>
      <c r="AA99" s="291"/>
      <c r="AB99" s="291"/>
      <c r="AC99" s="291"/>
      <c r="AD99" s="289"/>
      <c r="AE99" s="289"/>
      <c r="AF99" s="289"/>
      <c r="AG99" s="289"/>
      <c r="AH99" s="289"/>
      <c r="AI99" s="289"/>
      <c r="AJ99" s="289"/>
      <c r="AK99" s="289"/>
      <c r="AL99" s="289"/>
      <c r="AM99" s="289"/>
      <c r="AN99" s="289"/>
      <c r="AO99" s="289"/>
      <c r="AP99" s="289"/>
      <c r="AQ99" s="293"/>
      <c r="AR99" s="293"/>
      <c r="AS99" s="289"/>
      <c r="AT99" s="289"/>
      <c r="AU99" s="289"/>
      <c r="AV99" s="289"/>
      <c r="AW99" s="289"/>
      <c r="AX99" s="289"/>
      <c r="AY99" s="289"/>
      <c r="AZ99" s="289"/>
      <c r="BA99" s="289"/>
      <c r="BB99" s="289"/>
      <c r="BC99" s="289"/>
      <c r="BD99" s="289"/>
      <c r="BE99" s="289"/>
      <c r="BF99" s="289"/>
      <c r="BG99" s="289"/>
      <c r="BH99" s="289"/>
      <c r="BI99" s="289"/>
      <c r="BJ99" s="289"/>
      <c r="BK99" s="294"/>
      <c r="BL99" s="289"/>
      <c r="BM99" s="289"/>
      <c r="BN99" s="289"/>
      <c r="BO99" s="289"/>
      <c r="BP99" s="295"/>
      <c r="BQ99" s="289"/>
      <c r="BR99" s="296"/>
      <c r="BS99" s="296"/>
      <c r="BT99" s="289"/>
      <c r="BU99" s="289"/>
      <c r="BV99" s="289"/>
      <c r="BW99" s="289"/>
      <c r="BX99" s="289"/>
      <c r="BY99" s="296"/>
      <c r="BZ99" s="297"/>
      <c r="CA99" s="297"/>
      <c r="CB99" s="297"/>
      <c r="CC99" s="298"/>
      <c r="CD99" s="298"/>
      <c r="CE99" s="298"/>
      <c r="CF99" s="298"/>
      <c r="CG99" s="299"/>
      <c r="CH99" s="299"/>
      <c r="CI99" s="299"/>
      <c r="CJ99" s="299"/>
      <c r="CK99" s="299"/>
      <c r="CL99" s="299"/>
      <c r="CM99" s="299"/>
      <c r="CN99" s="299"/>
      <c r="CO99" s="299"/>
      <c r="CP99" s="299"/>
      <c r="CQ99" s="299"/>
      <c r="CR99" s="299"/>
      <c r="CS99" s="299"/>
      <c r="CT99" s="299"/>
      <c r="CU99" s="299"/>
      <c r="CV99" s="300"/>
      <c r="CW99" s="300"/>
      <c r="CX99" s="299"/>
      <c r="CY99" s="299"/>
      <c r="CZ99" s="299"/>
      <c r="DA99" s="299"/>
      <c r="DB99" s="299"/>
      <c r="DC99" s="299"/>
      <c r="DD99" s="299"/>
      <c r="DE99" s="300"/>
      <c r="DF99" s="300"/>
      <c r="DG99" s="300"/>
      <c r="DH99" s="300"/>
      <c r="DI99" s="300"/>
      <c r="DJ99" s="300"/>
      <c r="DK99" s="300"/>
      <c r="DL99" s="300"/>
      <c r="DM99" s="300"/>
      <c r="DN99" s="300"/>
      <c r="DO99" s="300"/>
      <c r="DP99" s="300"/>
      <c r="DQ99" s="300"/>
      <c r="DR99" s="300"/>
      <c r="DS99" s="300"/>
      <c r="DT99" s="300"/>
      <c r="DU99" s="300"/>
      <c r="DV99" s="300"/>
      <c r="DW99" s="300"/>
      <c r="DX99" s="300"/>
      <c r="DY99" s="300"/>
      <c r="DZ99" s="300"/>
      <c r="EA99" s="300"/>
      <c r="EB99" s="301"/>
      <c r="EC99" s="302"/>
      <c r="ED99" s="303"/>
      <c r="EE99" s="303"/>
      <c r="EF99" s="303"/>
      <c r="EG99" s="303"/>
      <c r="EH99" s="303"/>
      <c r="EI99" s="303"/>
      <c r="EJ99" s="304"/>
      <c r="EK99" s="304"/>
      <c r="EL99" s="304"/>
      <c r="EM99" s="304"/>
      <c r="EN99" s="304"/>
      <c r="EO99" s="304"/>
      <c r="EP99" s="304"/>
      <c r="EQ99" s="305"/>
      <c r="ER99" s="306"/>
      <c r="ES99" s="244"/>
      <c r="ET99" s="244"/>
      <c r="EU99" s="307"/>
    </row>
    <row r="100" spans="1:151" ht="15.75" thickBot="1">
      <c r="A100" s="308"/>
      <c r="B100" s="309" t="s">
        <v>203</v>
      </c>
      <c r="C100" s="309"/>
      <c r="D100" s="310"/>
      <c r="E100" s="311">
        <f>COUNT(A8:A89)-1</f>
        <v>81</v>
      </c>
      <c r="F100" s="311"/>
      <c r="G100" s="312">
        <f t="shared" ref="G100:L100" si="62">SUM(G93:G96)</f>
        <v>391</v>
      </c>
      <c r="H100" s="312">
        <f t="shared" si="62"/>
        <v>277</v>
      </c>
      <c r="I100" s="312">
        <f t="shared" si="62"/>
        <v>4443</v>
      </c>
      <c r="J100" s="312">
        <f t="shared" si="62"/>
        <v>9254</v>
      </c>
      <c r="K100" s="312">
        <f t="shared" si="62"/>
        <v>4541</v>
      </c>
      <c r="L100" s="312">
        <f t="shared" si="62"/>
        <v>8633</v>
      </c>
      <c r="M100" s="312">
        <f>SUM(M93:M99)</f>
        <v>196791.74999999997</v>
      </c>
      <c r="N100" s="312">
        <f>SUM(N93:N99)</f>
        <v>14053.15</v>
      </c>
      <c r="O100" s="312">
        <f>SUM(O93:O96)</f>
        <v>210844.90000000002</v>
      </c>
      <c r="P100" s="312">
        <f>SUM(P93:P96)</f>
        <v>0</v>
      </c>
      <c r="Q100" s="312">
        <f>SUM(Q93:Q96)</f>
        <v>187</v>
      </c>
      <c r="R100" s="313">
        <f>SUM(R93:R95)</f>
        <v>128312.91</v>
      </c>
      <c r="S100" s="313">
        <f>SUM(S93:S95)</f>
        <v>9351</v>
      </c>
      <c r="T100" s="314">
        <f>SUM(T93:T95)</f>
        <v>137663.91000000003</v>
      </c>
      <c r="U100" s="312">
        <f t="shared" ref="U100:BU100" si="63">SUM(U93:U96)</f>
        <v>0</v>
      </c>
      <c r="V100" s="312">
        <f t="shared" si="63"/>
        <v>186.5</v>
      </c>
      <c r="W100" s="312">
        <f t="shared" si="63"/>
        <v>210801.3</v>
      </c>
      <c r="X100" s="312">
        <f t="shared" si="63"/>
        <v>137850.41000000003</v>
      </c>
      <c r="Y100" s="312">
        <f t="shared" si="63"/>
        <v>210801.3</v>
      </c>
      <c r="Z100" s="312">
        <f t="shared" si="63"/>
        <v>137850.41000000003</v>
      </c>
      <c r="AA100" s="312">
        <f t="shared" si="63"/>
        <v>0</v>
      </c>
      <c r="AB100" s="312">
        <f t="shared" si="63"/>
        <v>0</v>
      </c>
      <c r="AC100" s="312">
        <f t="shared" si="63"/>
        <v>201447</v>
      </c>
      <c r="AD100" s="312">
        <f t="shared" si="63"/>
        <v>131923.01</v>
      </c>
      <c r="AE100" s="312">
        <f t="shared" si="63"/>
        <v>0</v>
      </c>
      <c r="AF100" s="312">
        <f t="shared" si="63"/>
        <v>0</v>
      </c>
      <c r="AG100" s="312">
        <f t="shared" si="63"/>
        <v>7377.5</v>
      </c>
      <c r="AH100" s="312">
        <f t="shared" si="63"/>
        <v>3995.2</v>
      </c>
      <c r="AI100" s="312">
        <f t="shared" si="63"/>
        <v>0</v>
      </c>
      <c r="AJ100" s="312">
        <f t="shared" si="63"/>
        <v>0</v>
      </c>
      <c r="AK100" s="312">
        <f t="shared" si="63"/>
        <v>209403.99999999997</v>
      </c>
      <c r="AL100" s="312">
        <f t="shared" si="63"/>
        <v>136495.51000000004</v>
      </c>
      <c r="AM100" s="312">
        <f t="shared" si="63"/>
        <v>0</v>
      </c>
      <c r="AN100" s="312">
        <f t="shared" si="63"/>
        <v>0</v>
      </c>
      <c r="AO100" s="312">
        <f t="shared" si="63"/>
        <v>27359.8</v>
      </c>
      <c r="AP100" s="312">
        <f t="shared" si="63"/>
        <v>16330.8</v>
      </c>
      <c r="AQ100" s="315">
        <f t="shared" si="63"/>
        <v>174389.9</v>
      </c>
      <c r="AR100" s="315">
        <f t="shared" si="63"/>
        <v>114827.01000000004</v>
      </c>
      <c r="AS100" s="312">
        <f t="shared" si="63"/>
        <v>82181.200000000012</v>
      </c>
      <c r="AT100" s="312">
        <f t="shared" si="63"/>
        <v>54366.799999999996</v>
      </c>
      <c r="AU100" s="312">
        <f t="shared" si="63"/>
        <v>18265.399999999998</v>
      </c>
      <c r="AV100" s="312">
        <f t="shared" si="63"/>
        <v>10416.600000000004</v>
      </c>
      <c r="AW100" s="312">
        <f t="shared" si="63"/>
        <v>11232</v>
      </c>
      <c r="AX100" s="312">
        <f t="shared" si="63"/>
        <v>6392.9</v>
      </c>
      <c r="AY100" s="312">
        <f t="shared" si="63"/>
        <v>1833</v>
      </c>
      <c r="AZ100" s="312">
        <f t="shared" si="63"/>
        <v>816851765</v>
      </c>
      <c r="BA100" s="312">
        <f t="shared" si="63"/>
        <v>1601.7000000000003</v>
      </c>
      <c r="BB100" s="314">
        <f t="shared" si="63"/>
        <v>5534.62</v>
      </c>
      <c r="BC100" s="312">
        <f t="shared" si="63"/>
        <v>79.000000000000014</v>
      </c>
      <c r="BD100" s="312">
        <f t="shared" si="63"/>
        <v>344</v>
      </c>
      <c r="BE100" s="312">
        <f t="shared" si="63"/>
        <v>659.59999999999991</v>
      </c>
      <c r="BF100" s="312">
        <f t="shared" si="63"/>
        <v>61.7</v>
      </c>
      <c r="BG100" s="312">
        <f t="shared" si="63"/>
        <v>22847.4</v>
      </c>
      <c r="BH100" s="312">
        <f t="shared" si="63"/>
        <v>0</v>
      </c>
      <c r="BI100" s="312">
        <f t="shared" si="63"/>
        <v>0</v>
      </c>
      <c r="BJ100" s="312">
        <f t="shared" si="63"/>
        <v>1460.6</v>
      </c>
      <c r="BK100" s="312">
        <f t="shared" si="63"/>
        <v>316.39999999999998</v>
      </c>
      <c r="BL100" s="312">
        <f t="shared" si="63"/>
        <v>0</v>
      </c>
      <c r="BM100" s="312">
        <f t="shared" si="63"/>
        <v>0</v>
      </c>
      <c r="BN100" s="312">
        <f t="shared" si="63"/>
        <v>0</v>
      </c>
      <c r="BO100" s="312">
        <f t="shared" si="63"/>
        <v>0</v>
      </c>
      <c r="BP100" s="312">
        <f t="shared" si="63"/>
        <v>52904.952999999994</v>
      </c>
      <c r="BQ100" s="312">
        <f t="shared" si="63"/>
        <v>3131.8109999999997</v>
      </c>
      <c r="BR100" s="312">
        <f t="shared" si="63"/>
        <v>4070.7039999999997</v>
      </c>
      <c r="BS100" s="312">
        <f t="shared" si="63"/>
        <v>34877.712800000001</v>
      </c>
      <c r="BT100" s="312">
        <f t="shared" si="63"/>
        <v>42936.400000000009</v>
      </c>
      <c r="BU100" s="312">
        <f t="shared" si="63"/>
        <v>41806.000000000015</v>
      </c>
      <c r="BV100" s="312">
        <f>SUM(BV8:BV99)</f>
        <v>209058.49</v>
      </c>
      <c r="BW100" s="312"/>
      <c r="BX100" s="312"/>
      <c r="BY100" s="316"/>
      <c r="BZ100" s="311"/>
      <c r="CA100" s="311"/>
      <c r="CB100" s="311"/>
      <c r="CC100" s="316"/>
      <c r="CD100" s="316"/>
      <c r="CE100" s="316"/>
      <c r="CF100" s="316"/>
      <c r="CG100" s="311"/>
      <c r="CH100" s="311"/>
      <c r="CI100" s="311"/>
      <c r="CJ100" s="311"/>
      <c r="CK100" s="311"/>
      <c r="CL100" s="311"/>
      <c r="CM100" s="311"/>
      <c r="CN100" s="311"/>
      <c r="CO100" s="311"/>
      <c r="CP100" s="311"/>
      <c r="CQ100" s="311"/>
      <c r="CR100" s="311"/>
      <c r="CS100" s="311"/>
      <c r="CT100" s="311"/>
      <c r="CU100" s="311"/>
      <c r="CV100" s="317"/>
      <c r="CW100" s="317"/>
      <c r="CX100" s="311"/>
      <c r="CY100" s="311"/>
      <c r="CZ100" s="311"/>
      <c r="DA100" s="311"/>
      <c r="DB100" s="311"/>
      <c r="DC100" s="311"/>
      <c r="DD100" s="318"/>
      <c r="DE100" s="319"/>
      <c r="DF100" s="319"/>
      <c r="DG100" s="319"/>
      <c r="DH100" s="319"/>
      <c r="DI100" s="319"/>
      <c r="DJ100" s="319"/>
      <c r="DK100" s="319"/>
      <c r="DL100" s="319"/>
      <c r="DM100" s="319"/>
      <c r="DN100" s="319"/>
      <c r="DO100" s="319"/>
      <c r="DP100" s="319"/>
      <c r="DQ100" s="319"/>
      <c r="DR100" s="319"/>
      <c r="DS100" s="319"/>
      <c r="DT100" s="319"/>
      <c r="DU100" s="319"/>
      <c r="DV100" s="319"/>
      <c r="DW100" s="319"/>
      <c r="DX100" s="319"/>
      <c r="DY100" s="319"/>
      <c r="DZ100" s="319"/>
      <c r="EA100" s="319"/>
      <c r="EB100" s="319"/>
      <c r="EC100" s="320"/>
      <c r="ED100" s="321"/>
      <c r="EE100" s="321"/>
      <c r="EF100" s="321"/>
      <c r="EG100" s="321"/>
      <c r="EH100" s="321"/>
      <c r="EI100" s="321"/>
      <c r="EJ100" s="322"/>
      <c r="EK100" s="322"/>
      <c r="EL100" s="322"/>
      <c r="EM100" s="322"/>
      <c r="EN100" s="322"/>
      <c r="EO100" s="322"/>
      <c r="EP100" s="323"/>
      <c r="EQ100" s="45"/>
      <c r="ER100" s="46"/>
      <c r="ES100" s="46"/>
      <c r="ET100" s="46"/>
      <c r="EU100" s="46"/>
    </row>
  </sheetData>
  <mergeCells count="129">
    <mergeCell ref="BK2:BP2"/>
    <mergeCell ref="BQ2:BS2"/>
    <mergeCell ref="A3:A6"/>
    <mergeCell ref="B3:B6"/>
    <mergeCell ref="C3:C6"/>
    <mergeCell ref="D3:D6"/>
    <mergeCell ref="E3:R3"/>
    <mergeCell ref="W3:AX3"/>
    <mergeCell ref="AY3:AY6"/>
    <mergeCell ref="AZ3:AZ6"/>
    <mergeCell ref="D2:E2"/>
    <mergeCell ref="I2:M2"/>
    <mergeCell ref="O2:P2"/>
    <mergeCell ref="T2:V2"/>
    <mergeCell ref="Z2:AA2"/>
    <mergeCell ref="AI2:AM2"/>
    <mergeCell ref="CW3:DL3"/>
    <mergeCell ref="DM3:EB3"/>
    <mergeCell ref="EC3:ER4"/>
    <mergeCell ref="ES3:EU5"/>
    <mergeCell ref="E4:E6"/>
    <mergeCell ref="F4:F6"/>
    <mergeCell ref="G4:G6"/>
    <mergeCell ref="H4:H6"/>
    <mergeCell ref="I4:I6"/>
    <mergeCell ref="J4:J6"/>
    <mergeCell ref="BX3:BX6"/>
    <mergeCell ref="BY3:BY6"/>
    <mergeCell ref="BZ3:CB3"/>
    <mergeCell ref="CC3:CE3"/>
    <mergeCell ref="CF3:CF6"/>
    <mergeCell ref="CG3:CV3"/>
    <mergeCell ref="CD4:CD6"/>
    <mergeCell ref="CE4:CE6"/>
    <mergeCell ref="CG4:CG6"/>
    <mergeCell ref="CH4:CH6"/>
    <mergeCell ref="BA3:BO3"/>
    <mergeCell ref="BP3:BS3"/>
    <mergeCell ref="BT3:BT6"/>
    <mergeCell ref="BU3:BU6"/>
    <mergeCell ref="BF4:BF6"/>
    <mergeCell ref="BG4:BK4"/>
    <mergeCell ref="BL4:BL6"/>
    <mergeCell ref="BM4:BM6"/>
    <mergeCell ref="BN4:BN6"/>
    <mergeCell ref="BO4:BO6"/>
    <mergeCell ref="K4:K6"/>
    <mergeCell ref="L4:L6"/>
    <mergeCell ref="M4:Q5"/>
    <mergeCell ref="R4:V5"/>
    <mergeCell ref="W4:AX4"/>
    <mergeCell ref="BA4:BA6"/>
    <mergeCell ref="AO5:AP5"/>
    <mergeCell ref="AQ5:AR5"/>
    <mergeCell ref="AS5:AT5"/>
    <mergeCell ref="AU5:AV5"/>
    <mergeCell ref="BB4:BB6"/>
    <mergeCell ref="BC4:BC6"/>
    <mergeCell ref="BD4:BD6"/>
    <mergeCell ref="BE4:BE6"/>
    <mergeCell ref="CI4:CI6"/>
    <mergeCell ref="CJ4:CJ6"/>
    <mergeCell ref="CK4:CK6"/>
    <mergeCell ref="CL4:CL6"/>
    <mergeCell ref="CM4:CM6"/>
    <mergeCell ref="CN4:CN6"/>
    <mergeCell ref="BP4:BP6"/>
    <mergeCell ref="BQ4:BS4"/>
    <mergeCell ref="BZ4:BZ6"/>
    <mergeCell ref="CA4:CA6"/>
    <mergeCell ref="CB4:CB6"/>
    <mergeCell ref="CC4:CC6"/>
    <mergeCell ref="BV3:BV6"/>
    <mergeCell ref="BW3:BW6"/>
    <mergeCell ref="CX4:CX6"/>
    <mergeCell ref="CY4:CY6"/>
    <mergeCell ref="CZ4:CZ6"/>
    <mergeCell ref="DA4:DA6"/>
    <mergeCell ref="DB4:DB6"/>
    <mergeCell ref="DC4:DC6"/>
    <mergeCell ref="CO4:CO6"/>
    <mergeCell ref="CP4:CP6"/>
    <mergeCell ref="CQ4:CQ6"/>
    <mergeCell ref="DN4:DN6"/>
    <mergeCell ref="DO4:DO6"/>
    <mergeCell ref="DP4:DP6"/>
    <mergeCell ref="DQ4:DQ6"/>
    <mergeCell ref="DR4:DR6"/>
    <mergeCell ref="DD4:DD6"/>
    <mergeCell ref="DE4:DE6"/>
    <mergeCell ref="DF4:DF6"/>
    <mergeCell ref="DG4:DG6"/>
    <mergeCell ref="DH4:DK4"/>
    <mergeCell ref="DL4:DL6"/>
    <mergeCell ref="DH5:DH6"/>
    <mergeCell ref="DI5:DK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EC5:EG5"/>
    <mergeCell ref="EH5:EM5"/>
    <mergeCell ref="EN5:ER5"/>
    <mergeCell ref="CS5:CU5"/>
    <mergeCell ref="CR5:CR6"/>
    <mergeCell ref="CW4:CW6"/>
    <mergeCell ref="CV4:CV6"/>
    <mergeCell ref="CR4:CU4"/>
    <mergeCell ref="AW5:AX5"/>
    <mergeCell ref="BG5:BG6"/>
    <mergeCell ref="BH5:BK5"/>
    <mergeCell ref="BQ5:BQ6"/>
    <mergeCell ref="BR5:BR6"/>
    <mergeCell ref="BS5:BS6"/>
    <mergeCell ref="EB4:EB6"/>
    <mergeCell ref="DS4:DS6"/>
    <mergeCell ref="DT4:DT6"/>
    <mergeCell ref="DU4:DU6"/>
    <mergeCell ref="DV4:DV6"/>
    <mergeCell ref="DW4:DW6"/>
    <mergeCell ref="DX4:EA4"/>
    <mergeCell ref="DX5:DX6"/>
    <mergeCell ref="DY5:EA5"/>
    <mergeCell ref="DM4:DM6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2022-11-22T03:10:45Z</dcterms:modified>
</cp:coreProperties>
</file>