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0" yWindow="1995" windowWidth="15480" windowHeight="5325" tabRatio="725" firstSheet="12" activeTab="21"/>
  </bookViews>
  <sheets>
    <sheet name="Свод 2021" sheetId="1" r:id="rId1"/>
    <sheet name="1.  Анкудинова 1 " sheetId="2" r:id="rId2"/>
    <sheet name="2.  Анкудинова 3" sheetId="3" r:id="rId3"/>
    <sheet name="3.  Анкудинова 5" sheetId="4" r:id="rId4"/>
    <sheet name="4.  Анкудинова 7" sheetId="5" r:id="rId5"/>
    <sheet name="5.  Анкудинова 9" sheetId="6" r:id="rId6"/>
    <sheet name="6.  Анкудинова 11" sheetId="7" r:id="rId7"/>
    <sheet name="7.  Анкудинова 13" sheetId="8" r:id="rId8"/>
    <sheet name="9.  Анкудинова 17" sheetId="9" r:id="rId9"/>
    <sheet name="12.  Анкудинова  11А " sheetId="10" r:id="rId10"/>
    <sheet name="13.  Анкудинова 17А " sheetId="11" r:id="rId11"/>
    <sheet name="10.  Анкудинова 3Б" sheetId="12" r:id="rId12"/>
    <sheet name="11.  Анкудинова 5А" sheetId="13" r:id="rId13"/>
    <sheet name="14. Тихоокеанская 27" sheetId="14" r:id="rId14"/>
    <sheet name="15. Горького 12" sheetId="15" r:id="rId15"/>
    <sheet name="16. Горького 11б" sheetId="16" r:id="rId16"/>
    <sheet name="16. Горького 14" sheetId="17" r:id="rId17"/>
    <sheet name="17. Горького 16" sheetId="18" r:id="rId18"/>
    <sheet name="18. Горького 18" sheetId="19" r:id="rId19"/>
    <sheet name="18. Горького 18 а" sheetId="20" r:id="rId20"/>
    <sheet name="19. Горького 20" sheetId="21" r:id="rId21"/>
    <sheet name="20. Горького 22" sheetId="22" r:id="rId22"/>
    <sheet name="21. Горького 14А" sheetId="23" r:id="rId23"/>
    <sheet name="Горького 20А" sheetId="24" r:id="rId24"/>
    <sheet name="Дзержинского 12" sheetId="25" r:id="rId25"/>
    <sheet name="Дзержинского 12а" sheetId="26" r:id="rId26"/>
    <sheet name="23. Комсомольская 165" sheetId="27" r:id="rId27"/>
    <sheet name="24. Комсомольская 167" sheetId="28" r:id="rId28"/>
    <sheet name="25. Комсомольская 169" sheetId="29" r:id="rId29"/>
    <sheet name="28.  Комсомольская 191" sheetId="30" r:id="rId30"/>
    <sheet name="29.  Комсомольская 193" sheetId="31" r:id="rId31"/>
    <sheet name="30.  Комсомольская 195" sheetId="32" r:id="rId32"/>
    <sheet name="32. Комсомольская 167А" sheetId="33" r:id="rId33"/>
    <sheet name="35.  пр.Мира 157" sheetId="34" r:id="rId34"/>
    <sheet name="36.  пр .Мира 161" sheetId="35" r:id="rId35"/>
    <sheet name="37.  пр.Мира 163" sheetId="36" r:id="rId36"/>
    <sheet name="38. Мира 161-А" sheetId="37" r:id="rId37"/>
    <sheet name="39.  пр.Мира 163А " sheetId="38" r:id="rId38"/>
    <sheet name="40. Победы 4 " sheetId="39" r:id="rId39"/>
    <sheet name="41. Победы 6" sheetId="40" r:id="rId40"/>
    <sheet name="Победы 6А -2" sheetId="41" r:id="rId41"/>
    <sheet name="42. Победы 6-А-1" sheetId="42" r:id="rId42"/>
    <sheet name="42. Победы 6-Б" sheetId="43" r:id="rId43"/>
    <sheet name="43. Победы 8" sheetId="44" r:id="rId44"/>
    <sheet name="44. Победы 10" sheetId="45" r:id="rId45"/>
    <sheet name="45. Победы 10-Б" sheetId="46" r:id="rId46"/>
    <sheet name="46. Победы 12" sheetId="47" r:id="rId47"/>
    <sheet name="47. Победы 14" sheetId="48" r:id="rId48"/>
    <sheet name="48. Победы 16" sheetId="49" r:id="rId49"/>
    <sheet name="49. Победы 18" sheetId="50" r:id="rId50"/>
    <sheet name="50. Победы 26" sheetId="51" r:id="rId51"/>
    <sheet name="51. Победы 48" sheetId="52" r:id="rId52"/>
    <sheet name="52.  пр.Победы 50" sheetId="53" r:id="rId53"/>
    <sheet name="54.  пр.Победы 12А " sheetId="54" r:id="rId54"/>
    <sheet name="62.  Поповича 14" sheetId="55" r:id="rId55"/>
    <sheet name="Поповича 21" sheetId="56" r:id="rId56"/>
    <sheet name="71.  Поповича 43" sheetId="57" r:id="rId57"/>
    <sheet name="72.  Поповича 45" sheetId="58" r:id="rId58"/>
    <sheet name="73.  Поповича 47" sheetId="59" r:id="rId59"/>
    <sheet name="80.  Поповича 18А" sheetId="60" r:id="rId60"/>
    <sheet name="87.  Поповича 20А" sheetId="61" r:id="rId61"/>
    <sheet name="91.  Поповича 22А" sheetId="62" r:id="rId62"/>
    <sheet name="94.  Поповича 24А" sheetId="63" r:id="rId63"/>
    <sheet name="96.  Поповича 45А" sheetId="64" r:id="rId64"/>
    <sheet name="68.  Поповича 25 " sheetId="65" r:id="rId65"/>
    <sheet name="95.  Поповича 43А" sheetId="66" r:id="rId66"/>
    <sheet name="Невельского 4" sheetId="67" r:id="rId67"/>
    <sheet name="Невелская 14-1" sheetId="68" r:id="rId68"/>
    <sheet name="Невелская 14-2" sheetId="69" r:id="rId69"/>
    <sheet name="Озерная 2а" sheetId="70" r:id="rId70"/>
    <sheet name="Озерная 2б" sheetId="71" r:id="rId71"/>
    <sheet name="Сахалинская 13" sheetId="72" r:id="rId72"/>
    <sheet name="Фабричная 14А" sheetId="73" r:id="rId73"/>
    <sheet name="Емельянова 43" sheetId="74" r:id="rId74"/>
    <sheet name="98.  Физкультурная 120" sheetId="75" r:id="rId75"/>
    <sheet name="98.  Физкультурная 122" sheetId="76" r:id="rId76"/>
    <sheet name="99.  Физкультурная 124" sheetId="77" r:id="rId77"/>
    <sheet name="100.  Физкультурная 126" sheetId="78" r:id="rId78"/>
    <sheet name="101.  Физкультурная 128" sheetId="79" r:id="rId79"/>
    <sheet name="102.  Физкультурная 130" sheetId="80" r:id="rId80"/>
    <sheet name="103.  Физкультурная 124А" sheetId="81" r:id="rId81"/>
    <sheet name="105.  Физкультурная 126А" sheetId="82" r:id="rId82"/>
    <sheet name="106.  Физкультурная 126Б" sheetId="83" r:id="rId83"/>
    <sheet name="Лист3" sheetId="84" r:id="rId84"/>
    <sheet name="Лист 2" sheetId="85" r:id="rId85"/>
  </sheets>
  <externalReferences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xlnm._FilterDatabase" localSheetId="0" hidden="1">'Свод 2021'!$A$3:$AO$86</definedName>
  </definedNames>
  <calcPr fullCalcOnLoad="1"/>
</workbook>
</file>

<file path=xl/comments1.xml><?xml version="1.0" encoding="utf-8"?>
<comments xmlns="http://schemas.openxmlformats.org/spreadsheetml/2006/main">
  <authors>
    <author>Кассир</author>
  </authors>
  <commentList>
    <comment ref="S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Горького 14б , Сах Телеком/вымпел комм , ростелеком </t>
        </r>
      </text>
    </comment>
    <comment ref="S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Горь 14б , КЭЧ 0, Ростелеком , Лимитед/вымпел комм </t>
        </r>
      </text>
    </comment>
    <comment ref="S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,Вешка м-н соц , лимитед интер/вымпел комм , ростелеком </t>
        </r>
      </text>
    </comment>
    <comment ref="S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, лимитед/вымпел комм , ростелеком </t>
        </r>
      </text>
    </comment>
    <comment ref="S8" authorId="0">
      <text>
        <r>
          <rPr>
            <b/>
            <sz val="9"/>
            <rFont val="Tahoma"/>
            <family val="2"/>
          </rPr>
          <t xml:space="preserve">Кассир: </t>
        </r>
        <r>
          <rPr>
            <sz val="9"/>
            <rFont val="Tahoma"/>
            <family val="2"/>
          </rPr>
          <t xml:space="preserve"> парикмах 0, лимитенд/вымпел комм , Ростелеком </t>
        </r>
      </text>
    </comment>
    <comment ref="S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 вымпел комм, ростелеком </t>
        </r>
      </text>
    </comment>
    <comment ref="S10" authorId="0">
      <text>
        <r>
          <rPr>
            <b/>
            <sz val="9"/>
            <rFont val="Tahoma"/>
            <family val="2"/>
          </rPr>
          <t xml:space="preserve">Кассир: </t>
        </r>
        <r>
          <rPr>
            <sz val="9"/>
            <rFont val="Tahoma"/>
            <family val="2"/>
          </rPr>
          <t xml:space="preserve">умвд ,лимитенд/вымпел комм ,ростелеком </t>
        </r>
      </text>
    </comment>
    <comment ref="S1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двгупс , бородина аптека ,</t>
        </r>
      </text>
    </comment>
    <comment ref="S1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 лимитенд/вымпел комм,ростелеком </t>
        </r>
      </text>
    </comment>
    <comment ref="S1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 ростелеклм </t>
        </r>
      </text>
    </comment>
    <comment ref="S1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 14б, Епархия , Фаворит строй </t>
        </r>
      </text>
    </comment>
    <comment ref="S1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, лимитенд/вымпел комм, ростелеком </t>
        </r>
      </text>
    </comment>
    <comment ref="S1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</t>
        </r>
      </text>
    </comment>
    <comment ref="S1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 14б, лимитенд/вымпел комм, ростелеком </t>
        </r>
      </text>
    </comment>
    <comment ref="S2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, Вларен,Удача(Васильева)</t>
        </r>
      </text>
    </comment>
    <comment ref="S2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, лимитенд/вымпел комм, ростелеком </t>
        </r>
      </text>
    </comment>
    <comment ref="S2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</t>
        </r>
      </text>
    </comment>
    <comment ref="S2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</t>
        </r>
      </text>
    </comment>
    <comment ref="S2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сахкомцентр ,ростелеком </t>
        </r>
      </text>
    </comment>
    <comment ref="S2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ростелеком, наркология </t>
        </r>
      </text>
    </comment>
    <comment ref="S2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, АТБ ,ВТБ , Звада ,клетчетова ,прокаева , садовникова, юрченко </t>
        </r>
      </text>
    </comment>
    <comment ref="S3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 ,Дан-макс ,ОАО ВНГ ,Шубин ,упр дел Администр, ростелеком </t>
        </r>
      </text>
    </comment>
    <comment ref="S3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комм,упр дел Админитр , ростелеком </t>
        </r>
      </text>
    </comment>
    <comment ref="S3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сбербанк ,альфа ,ЦБС ,элексир (Аптека) , Лимиде/вымпел комм, ростелеком </t>
        </r>
      </text>
    </comment>
    <comment ref="S3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сбербанк ,лунная соната 0,самохина ,лимитенд/вымпел комм ,ростелеком </t>
        </r>
      </text>
    </comment>
    <comment ref="S3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лимидент/вымпел комм, ростелеком , весть , целитель </t>
        </r>
      </text>
    </comment>
    <comment ref="S3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комм,общ глухих , стрекалова </t>
        </r>
      </text>
    </comment>
    <comment ref="S3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, почта,союз садовода ,чо ен ок </t>
        </r>
      </text>
    </comment>
    <comment ref="S3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тлеком/вымпел комм, саныч , ли с.б. ,соколова </t>
        </r>
      </text>
    </comment>
    <comment ref="S3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телеком/вымпел комм, ДЮСШ </t>
        </r>
      </text>
    </comment>
    <comment ref="S4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, транс телеком , сарапулова </t>
        </r>
      </text>
    </comment>
    <comment ref="S4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 -дом .лимитенд/вымпел комм,ростелеком </t>
        </r>
      </text>
    </comment>
    <comment ref="S4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 дом ,лимитенд ,ростелеком ,Карасенко (клиника) </t>
        </r>
      </text>
    </comment>
    <comment ref="S4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юсса-дом , лимитенд/вымпел комм , ростелеком </t>
        </r>
      </text>
    </comment>
    <comment ref="S4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</t>
        </r>
      </text>
    </comment>
    <comment ref="S4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 гуржий ,саир </t>
        </r>
      </text>
    </comment>
    <comment ref="S4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комм,ростелеком </t>
        </r>
      </text>
    </comment>
    <comment ref="S5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</t>
        </r>
      </text>
    </comment>
    <comment ref="S5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</t>
        </r>
      </text>
    </comment>
    <comment ref="S5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 ТСЖ Победы </t>
        </r>
      </text>
    </comment>
    <comment ref="S5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5712,86, Медецинская компания</t>
        </r>
      </text>
    </comment>
    <comment ref="S5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,Ким Ен Э (парик) , сто услуг , лимитенд/вымпел комм</t>
        </r>
      </text>
    </comment>
    <comment ref="S5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, Усковав(пар),Тельма , транс телеком, Анохина (маг)</t>
        </r>
      </text>
    </comment>
    <comment ref="S5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</t>
        </r>
      </text>
    </comment>
    <comment ref="S5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,наркология </t>
        </r>
      </text>
    </comment>
    <comment ref="S5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, горнева </t>
        </r>
      </text>
    </comment>
    <comment ref="S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ИнСах 113109,59</t>
        </r>
      </text>
    </comment>
    <comment ref="S6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,Анастасия(маг) </t>
        </r>
      </text>
    </comment>
    <comment ref="S6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, Епархия , Асадов , Кузнецова , Рыбина(аптека) </t>
        </r>
      </text>
    </comment>
    <comment ref="S6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комм,ростелеком </t>
        </r>
      </text>
    </comment>
    <comment ref="S6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 Молед инициат  ростелеком </t>
        </r>
      </text>
    </comment>
    <comment ref="S6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лимитендвымпел комм.ростелеком </t>
        </r>
      </text>
    </comment>
    <comment ref="S6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комм,ростелеком </t>
        </r>
      </text>
    </comment>
    <comment ref="S6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</t>
        </r>
      </text>
    </comment>
    <comment ref="S6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</t>
        </r>
      </text>
    </comment>
    <comment ref="S6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Ветер , лимитенд/вымпел комм, ростелеком </t>
        </r>
      </text>
    </comment>
    <comment ref="S6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аполлония </t>
        </r>
      </text>
    </comment>
    <comment ref="S7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труд,Васильева(6),Митовка,Мямлин(3),Паршиков(3,5) Юношеского туризма(ДЮТ),жэу-10 </t>
        </r>
      </text>
    </comment>
    <comment ref="S7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</t>
        </r>
      </text>
    </comment>
    <comment ref="S7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</t>
        </r>
      </text>
    </comment>
    <comment ref="S79" authorId="0">
      <text>
        <r>
          <rPr>
            <b/>
            <sz val="9"/>
            <rFont val="Tahoma"/>
            <family val="2"/>
          </rPr>
          <t>Касси</t>
        </r>
        <r>
          <rPr>
            <sz val="9"/>
            <rFont val="Tahoma"/>
            <family val="2"/>
          </rPr>
          <t xml:space="preserve"> ДВГУПС</t>
        </r>
        <r>
          <rPr>
            <b/>
            <sz val="9"/>
            <rFont val="Tahoma"/>
            <family val="2"/>
          </rPr>
          <t>,</t>
        </r>
        <r>
          <rPr>
            <sz val="9"/>
            <rFont val="Tahoma"/>
            <family val="2"/>
          </rPr>
          <t xml:space="preserve">транс телеком ,жэу-10, Кочнев </t>
        </r>
      </text>
    </comment>
    <comment ref="S80" authorId="0">
      <text>
        <r>
          <rPr>
            <b/>
            <sz val="9"/>
            <rFont val="Tahoma"/>
            <family val="2"/>
          </rPr>
          <t>Касс</t>
        </r>
        <r>
          <rPr>
            <sz val="9"/>
            <rFont val="Tahoma"/>
            <family val="2"/>
          </rPr>
          <t>, ДВГУПС,жэу-10, транс телеком,Красовский</t>
        </r>
      </text>
    </comment>
    <comment ref="S8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,транс телеком </t>
        </r>
      </text>
    </comment>
    <comment ref="S8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,транс телеком</t>
        </r>
      </text>
    </comment>
    <comment ref="S8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ДВГУПС,жэу 10,транс телеком </t>
        </r>
      </text>
    </comment>
    <comment ref="S8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</t>
        </r>
      </text>
    </comment>
    <comment ref="S1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нежилые горького 11б</t>
        </r>
      </text>
    </comment>
    <comment ref="S4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лимитенд/вымпел комм,зайцев , УМВД </t>
        </r>
      </text>
    </comment>
    <comment ref="AE4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уборка л/кл+ помывка</t>
        </r>
      </text>
    </comment>
    <comment ref="S1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жэу-1 </t>
        </r>
      </text>
    </comment>
    <comment ref="S7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капитал строй, тен </t>
        </r>
      </text>
    </comment>
    <comment ref="S7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Токуда (парик) </t>
        </r>
      </text>
    </comment>
    <comment ref="S3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ДУМИ</t>
        </r>
      </text>
    </comment>
    <comment ref="Q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Инсах</t>
        </r>
      </text>
    </comment>
    <comment ref="S7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Промтехсервис</t>
        </r>
      </text>
    </comment>
  </commentList>
</comments>
</file>

<file path=xl/comments84.xml><?xml version="1.0" encoding="utf-8"?>
<comments xmlns="http://schemas.openxmlformats.org/spreadsheetml/2006/main">
  <authors>
    <author>Экономист</author>
  </authors>
  <commentList>
    <comment ref="B29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Расхождения со сводной таблицей из-за Поповича 25-Б на сумму 1061,62 (дом ушел, а в своде еще остался)</t>
        </r>
      </text>
    </comment>
    <comment ref="B32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Расхождения на сумму 42517,19:
13628,64- Поповича 15-А
9356,63- Поповича 17-В
5620,50- Поповича 25-А
332,90- Поповича 25-Б
13578,52- Поповича 47-А</t>
        </r>
      </text>
    </comment>
    <comment ref="B35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Не сходится со сводной таблицей в оборотке на сумму 63,70 (Поповича 25-Б)</t>
        </r>
      </text>
    </comment>
  </commentList>
</comments>
</file>

<file path=xl/sharedStrings.xml><?xml version="1.0" encoding="utf-8"?>
<sst xmlns="http://schemas.openxmlformats.org/spreadsheetml/2006/main" count="6353" uniqueCount="408">
  <si>
    <t>Услуги РКЦ по обработке  и начислению платежей, информационно-консультативные услуги</t>
  </si>
  <si>
    <t>в течение года</t>
  </si>
  <si>
    <t>Проведена работа по кап/рем. Нет</t>
  </si>
  <si>
    <t xml:space="preserve">Оплачено жителями </t>
  </si>
  <si>
    <t>Мытье лестничных площадок и маршей всех этажей</t>
  </si>
  <si>
    <t>2 раз(а) в год - май, октябрь</t>
  </si>
  <si>
    <t>Победы</t>
  </si>
  <si>
    <t>Мира</t>
  </si>
  <si>
    <t>Горького</t>
  </si>
  <si>
    <t>Комсомольская</t>
  </si>
  <si>
    <t>Поповича</t>
  </si>
  <si>
    <t xml:space="preserve">Поповича           </t>
  </si>
  <si>
    <t>Анкудинова</t>
  </si>
  <si>
    <t xml:space="preserve">Поповича              </t>
  </si>
  <si>
    <t>Физкультурная</t>
  </si>
  <si>
    <t xml:space="preserve">Поповича               </t>
  </si>
  <si>
    <t>5А</t>
  </si>
  <si>
    <t>11А</t>
  </si>
  <si>
    <t>17А</t>
  </si>
  <si>
    <t>3Б</t>
  </si>
  <si>
    <t>14А</t>
  </si>
  <si>
    <t>167А</t>
  </si>
  <si>
    <t>163А</t>
  </si>
  <si>
    <t>12А</t>
  </si>
  <si>
    <t>18А</t>
  </si>
  <si>
    <t>20А</t>
  </si>
  <si>
    <t>22А</t>
  </si>
  <si>
    <t>24А</t>
  </si>
  <si>
    <t>45А</t>
  </si>
  <si>
    <t>43А</t>
  </si>
  <si>
    <t>124А</t>
  </si>
  <si>
    <t>126Б</t>
  </si>
  <si>
    <t>ш\блоч</t>
  </si>
  <si>
    <t>кр\бл</t>
  </si>
  <si>
    <t xml:space="preserve">итого </t>
  </si>
  <si>
    <t>Всего</t>
  </si>
  <si>
    <t>Задолженность жителей на отчетный период</t>
  </si>
  <si>
    <t>ОТЧЕТ</t>
  </si>
  <si>
    <t>3.Канализация</t>
  </si>
  <si>
    <t>Всего по содержанию и текущему ремонту</t>
  </si>
  <si>
    <t>УК</t>
  </si>
  <si>
    <t>Всего по фонду</t>
  </si>
  <si>
    <t>благоустройство</t>
  </si>
  <si>
    <t>2. Отопление, горячее и холодное водоснабжение</t>
  </si>
  <si>
    <t>Работа дворника  по уборке терр</t>
  </si>
  <si>
    <t>Расчистка территории от снега</t>
  </si>
  <si>
    <t>Уборка Л/Кл</t>
  </si>
  <si>
    <t xml:space="preserve">Работы по содержанию дома </t>
  </si>
  <si>
    <t>Замена лампочек</t>
  </si>
  <si>
    <t>и в полном объеме оплату за его ремонт и текущее содержание.</t>
  </si>
  <si>
    <t xml:space="preserve">проявляют заботу об общем имуществе дома, производя вовремя  </t>
  </si>
  <si>
    <t>Итого</t>
  </si>
  <si>
    <t>РАБОТЫ ПО ТЕКУЩЕМУ РЕМОНТУ:</t>
  </si>
  <si>
    <t>1.Плотники-кровельщики,штукатуры -маляры</t>
  </si>
  <si>
    <t>Наименование</t>
  </si>
  <si>
    <t>Содержание и текущий</t>
  </si>
  <si>
    <t>Наименование работ</t>
  </si>
  <si>
    <t>Выполнение работ</t>
  </si>
  <si>
    <t>РАБОТЫ ПО СОДЕРЖАНИЮ ДОМА :</t>
  </si>
  <si>
    <t>6 раз в неделю</t>
  </si>
  <si>
    <t>3 раза : июнь,июль,август</t>
  </si>
  <si>
    <t>ежедневно</t>
  </si>
  <si>
    <t>Всего собрано по кап/ремонту</t>
  </si>
  <si>
    <t>Всего по дому накопительная по кап/ремонту</t>
  </si>
  <si>
    <t>Администрация ООО УК " ЖЭУ-7"</t>
  </si>
  <si>
    <t>к\пан</t>
  </si>
  <si>
    <t>ооо</t>
  </si>
  <si>
    <t>кр\бл.</t>
  </si>
  <si>
    <t>Электромонтажные работы</t>
  </si>
  <si>
    <t>Итого:</t>
  </si>
  <si>
    <t>Цены жил.услуг</t>
  </si>
  <si>
    <t>Всего кап/ремонт дома</t>
  </si>
  <si>
    <t>№ п/п</t>
  </si>
  <si>
    <t>Содержание                            ( название улицы)</t>
  </si>
  <si>
    <t>№              дома</t>
  </si>
  <si>
    <t xml:space="preserve">Тип                     дома </t>
  </si>
  <si>
    <t>Год                   постр.</t>
  </si>
  <si>
    <t xml:space="preserve">Эксплуатация лифта </t>
  </si>
  <si>
    <t xml:space="preserve">Обслуживание мусоропровода </t>
  </si>
  <si>
    <t xml:space="preserve">                                        Виды выполненных работ и услуг по содержанию                    </t>
  </si>
  <si>
    <t>6Б</t>
  </si>
  <si>
    <t>161А</t>
  </si>
  <si>
    <t>монолит.</t>
  </si>
  <si>
    <t>Отклонение по выполненым работам по содержанию  на 01.01.13</t>
  </si>
  <si>
    <t>Услуги ремонтно аварийной службы</t>
  </si>
  <si>
    <t>Налоги  УСН</t>
  </si>
  <si>
    <t>Сделано перерасчетов по дому (снятие РКЦ)</t>
  </si>
  <si>
    <t xml:space="preserve">Выражаем благодарность собственникам и нанимателям, которые </t>
  </si>
  <si>
    <t>Услуги по управлению:                                                                    работа паспортного стола;  выдача справок; аренда здания ООО УК "ЖЭУ-7"; услуги почтамта; содержание аппарата работников АУП</t>
  </si>
  <si>
    <t>10Б</t>
  </si>
  <si>
    <t>1994,1996,1997</t>
  </si>
  <si>
    <t>Накопительная на 31.12.2013 г.</t>
  </si>
  <si>
    <t>Отклонение по выполненым работам по содержанию  на 01.01.14</t>
  </si>
  <si>
    <t>Тихоокеанская</t>
  </si>
  <si>
    <t>ООО "ЖЭУ-7"</t>
  </si>
  <si>
    <t>ООО УК "ЖЭУ-7"</t>
  </si>
  <si>
    <t>Начислено    жителям дома  за 2014 г.</t>
  </si>
  <si>
    <t>Начислено жителям дома за 2014 г.</t>
  </si>
  <si>
    <t>Оплачено собственниками нежилых помещений за 2014 г.</t>
  </si>
  <si>
    <t>Задолженность жителей  на 01.01.2014 г.</t>
  </si>
  <si>
    <t>Фактические расходы ООО УК "ЖЭУ-7" за 2014 г.</t>
  </si>
  <si>
    <t>Общая сумма</t>
  </si>
  <si>
    <t>18а</t>
  </si>
  <si>
    <t>1993-1994</t>
  </si>
  <si>
    <t>6А-2</t>
  </si>
  <si>
    <t>6А-1</t>
  </si>
  <si>
    <t>к/бл</t>
  </si>
  <si>
    <t>к/пан</t>
  </si>
  <si>
    <t>14а</t>
  </si>
  <si>
    <t>Невельского</t>
  </si>
  <si>
    <t xml:space="preserve">Сахалинская </t>
  </si>
  <si>
    <t>Фабричная</t>
  </si>
  <si>
    <t>14-2</t>
  </si>
  <si>
    <t>Невельская</t>
  </si>
  <si>
    <t>ук</t>
  </si>
  <si>
    <t>11Б</t>
  </si>
  <si>
    <t xml:space="preserve">Невельская </t>
  </si>
  <si>
    <t>14-1</t>
  </si>
  <si>
    <t>Озерная</t>
  </si>
  <si>
    <t>2а</t>
  </si>
  <si>
    <t>ш/блоч</t>
  </si>
  <si>
    <t>жел-монол</t>
  </si>
  <si>
    <t>2б</t>
  </si>
  <si>
    <t>Текущий ремонт коструктивных элементов</t>
  </si>
  <si>
    <t>Работы по содержанию и ремонту оборудования и систем инженерно-технического обеспечения (ВДО тепло)</t>
  </si>
  <si>
    <t>ВДО ГВС</t>
  </si>
  <si>
    <t>ВДО ХВС, прочистка канализационной системы</t>
  </si>
  <si>
    <t>Сделано перерасчетов по дому (снятие ООО ВИЦ)</t>
  </si>
  <si>
    <t xml:space="preserve">об исполнении управляющей организацией                                                                                </t>
  </si>
  <si>
    <t>2. ВДО отопления</t>
  </si>
  <si>
    <t>3.ВДО ГВС</t>
  </si>
  <si>
    <t>4. ВДО ХВС, канализации</t>
  </si>
  <si>
    <t>Работы по содержанию помещений, входящих в состав общего имущества МКД:</t>
  </si>
  <si>
    <t>Работы по содержанию и ремонту конструктивных элементов зданий</t>
  </si>
  <si>
    <t>Выкашивание газонов</t>
  </si>
  <si>
    <t>3 раз(а) в неделю</t>
  </si>
  <si>
    <t>Подметание лестничных площадок и маршей свыше 3 этажа</t>
  </si>
  <si>
    <t>2 раз(а) в неделю</t>
  </si>
  <si>
    <t>по плану работ</t>
  </si>
  <si>
    <t>по графику, плану работ</t>
  </si>
  <si>
    <t>по мере поступления заявок</t>
  </si>
  <si>
    <t xml:space="preserve">Обработка подвальных помещений от блох, комаров: Дезинсекция </t>
  </si>
  <si>
    <t>Обработка подвальных помещений от крыс: Дератизация</t>
  </si>
  <si>
    <t>2 раз(а) в год</t>
  </si>
  <si>
    <r>
      <rPr>
        <b/>
        <sz val="11"/>
        <rFont val="Times New Roman"/>
        <family val="1"/>
      </rPr>
      <t xml:space="preserve">Работа уборщиц по уборке лесничных клеток:                                 </t>
    </r>
    <r>
      <rPr>
        <sz val="11"/>
        <rFont val="Times New Roman"/>
        <family val="1"/>
      </rPr>
      <t>Подметание лестничных площадок и маршей до 3 этажа</t>
    </r>
  </si>
  <si>
    <t>Услуги паспортного стола:</t>
  </si>
  <si>
    <t>согласно договору</t>
  </si>
  <si>
    <t>Задолженность собственников жилых помещений на отчетный период</t>
  </si>
  <si>
    <t>Осмотр внутридомовых инженерных сетей                                Работы по содержанию и ремонту оборудования и систем инженерно-технического обеспечения ВДО ХВС, канализации</t>
  </si>
  <si>
    <t xml:space="preserve">5. Электромонтажные работы:        </t>
  </si>
  <si>
    <t>Содержание и текущий ремонт (руб.)</t>
  </si>
  <si>
    <t>Задолженность собственников нежилых помещений на отчетный период</t>
  </si>
  <si>
    <t>Уборка помещений общего пользования МКД</t>
  </si>
  <si>
    <t>Уборка мест сбора и складирования мусора</t>
  </si>
  <si>
    <t>Осмотр внутридомовых инженерных сетей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Текущий ремонт инженерных сетей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</si>
  <si>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 </t>
  </si>
  <si>
    <r>
      <t xml:space="preserve">Работа дворника по уборке территории:                                            </t>
    </r>
    <r>
      <rPr>
        <sz val="11"/>
        <rFont val="Times New Roman"/>
        <family val="1"/>
      </rPr>
      <t xml:space="preserve">Подметание ступеней и площадок    </t>
    </r>
    <r>
      <rPr>
        <b/>
        <sz val="11"/>
        <rFont val="Times New Roman"/>
        <family val="1"/>
      </rPr>
      <t xml:space="preserve">                                                            </t>
    </r>
    <r>
      <rPr>
        <sz val="11"/>
        <rFont val="Times New Roman"/>
        <family val="1"/>
      </rPr>
      <t>Подметание территории</t>
    </r>
    <r>
      <rPr>
        <b/>
        <sz val="11"/>
        <rFont val="Times New Roman"/>
        <family val="1"/>
      </rPr>
      <t xml:space="preserve">                                                                          </t>
    </r>
    <r>
      <rPr>
        <sz val="11"/>
        <rFont val="Times New Roman"/>
        <family val="1"/>
      </rPr>
      <t xml:space="preserve"> Уборка газонов                                                                                        Уборка скошенной травы с газонов                                                   Уборка территории от мусора</t>
    </r>
  </si>
  <si>
    <t>в зимний период, по мере необходимости</t>
  </si>
  <si>
    <t>Обеспечение устранения аварий на внутридомовых системах</t>
  </si>
  <si>
    <t>Выдача справок                                                                                                                                                  Прием документов на постановку и снятие с регистрационного учета</t>
  </si>
  <si>
    <t>Расчистка территории от снега, подсыпка территории от наледи пескосоляной смесью</t>
  </si>
  <si>
    <t>Благоустройство (хоз.работы,  окраска малых форм, смена ламп, изготовление/ремонт скамеек, штакетников и тд.)</t>
  </si>
  <si>
    <t>Работы по содержанию и ремонту оборудования и систем инженерно-технического обеспечения, входящих в состав общего имущества МКД(отопление, ХВС, ГВС, ЭЭ)</t>
  </si>
  <si>
    <t>Осмотр внутридомовых инженерных сетей         Профилактические работы на внутридомовой системе      электроснабжения                                                                                   Текущий ремонт внутридомовой системы электроснабжения, планово-предупредительный ремонт этажных электрощитов и ВРУ                                                                                                 Техническое обслуживание инженерных сетей, входящих в состов общего имущества МКД</t>
  </si>
  <si>
    <t xml:space="preserve">            тариф 22,45</t>
  </si>
  <si>
    <t xml:space="preserve">по адресу ул. Поповича 24а       пл дома 2687,4м2                                                                              </t>
  </si>
  <si>
    <t>круглосуточно</t>
  </si>
  <si>
    <t>чердак, подвал</t>
  </si>
  <si>
    <r>
      <rPr>
        <b/>
        <sz val="11"/>
        <rFont val="Times New Roman"/>
        <family val="1"/>
      </rPr>
      <t xml:space="preserve">2 раз(а) в год   </t>
    </r>
    <r>
      <rPr>
        <sz val="11"/>
        <rFont val="Times New Roman"/>
        <family val="1"/>
      </rPr>
      <t xml:space="preserve">                          По графику, по мере необходимости</t>
    </r>
  </si>
  <si>
    <t>6 раз(а) в неделю</t>
  </si>
  <si>
    <t>3 раз(а) : июнь,июль,август</t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</si>
  <si>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</t>
    </r>
    <r>
      <rPr>
        <sz val="11"/>
        <rFont val="Times New Roman"/>
        <family val="1"/>
      </rPr>
      <t xml:space="preserve">     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</si>
  <si>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>2 раз(а) в год</t>
    </r>
    <r>
      <rPr>
        <sz val="11"/>
        <rFont val="Times New Roman"/>
        <family val="1"/>
      </rPr>
      <t xml:space="preserve">       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</si>
  <si>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       </t>
    </r>
    <r>
      <rPr>
        <sz val="11"/>
        <rFont val="Times New Roman"/>
        <family val="1"/>
      </rPr>
      <t xml:space="preserve">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</si>
  <si>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   </t>
    </r>
    <r>
      <rPr>
        <sz val="11"/>
        <rFont val="Times New Roman"/>
        <family val="1"/>
      </rPr>
      <t xml:space="preserve">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</si>
  <si>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2 раз(а) в год     </t>
    </r>
    <r>
      <rPr>
        <sz val="11"/>
        <rFont val="Times New Roman"/>
        <family val="1"/>
      </rPr>
      <t xml:space="preserve">                  По графику, по мере необходимости</t>
    </r>
  </si>
  <si>
    <t>чердак,подвалы</t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</si>
  <si>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</t>
    </r>
    <r>
      <rPr>
        <sz val="11"/>
        <rFont val="Times New Roman"/>
        <family val="1"/>
      </rPr>
      <t xml:space="preserve">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</si>
  <si>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2 раз(а) в год       </t>
    </r>
    <r>
      <rPr>
        <sz val="11"/>
        <rFont val="Times New Roman"/>
        <family val="1"/>
      </rPr>
      <t xml:space="preserve">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</si>
  <si>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</t>
    </r>
    <r>
      <rPr>
        <sz val="11"/>
        <rFont val="Times New Roman"/>
        <family val="1"/>
      </rPr>
      <t xml:space="preserve">             Текущий ремонт конструктивных элементов зданий                             Зимняя уборка кровли  от снего и наледи                 </t>
    </r>
  </si>
  <si>
    <t>чердак, подвалы</t>
  </si>
  <si>
    <r>
      <rPr>
        <b/>
        <sz val="11"/>
        <rFont val="Times New Roman"/>
        <family val="1"/>
      </rPr>
      <t xml:space="preserve">2 раз(а) в год      </t>
    </r>
    <r>
      <rPr>
        <sz val="11"/>
        <rFont val="Times New Roman"/>
        <family val="1"/>
      </rPr>
      <t xml:space="preserve">     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</si>
  <si>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</t>
    </r>
    <r>
      <rPr>
        <sz val="11"/>
        <rFont val="Times New Roman"/>
        <family val="1"/>
      </rPr>
      <t xml:space="preserve">          Текущий ремонт конструктивных элементов зданий                             Зимняя уборка кровли  от снего и наледи                 </t>
    </r>
  </si>
  <si>
    <t>окос</t>
  </si>
  <si>
    <t xml:space="preserve">а) количество и даты имеющихся в течение отчетного года случаев нарушения периодичности и качества выполненых работ и услуг по содержанию и ремонту общего имущества в многоквартирном доме, а также связанныхс этим снижения платы за содержание и ремонт жилого дома </t>
  </si>
  <si>
    <t>нет</t>
  </si>
  <si>
    <t>б) количество и даты имеющихся в течение отчетного года случаев нарушения периодичности и качества предоставления коммунальных услуг виде УК, а также связанных с этим снижения платы за коммунальные услуги</t>
  </si>
  <si>
    <t>в)количество предложений, заявлений и жалоб собственников помещений и принятых мер по устранению в них недостатков (с указанием сроков принятия указаных мер), в том числе, сведения о количестве и содержании актов о причинении ущерба общему имуществу действиями УК и сведения о возмещении такого ущерба или об устранении порчи общего имущества</t>
  </si>
  <si>
    <t>нет                              отработаны</t>
  </si>
  <si>
    <t>г) случаи выполнения непредвиденных и неоложных работ с указанием видов, объемов и стоимость таких работ</t>
  </si>
  <si>
    <t>д) информацию о суммах, полученных УК по заключенным от имени собственников помещений  в многоквартирном доме договорам об использовании общего имущества собственников помещений в многоквартирном доме(в том числе договора на установку и эксплуатациюрекламных конструкций), напрвлении расходования таких сумм</t>
  </si>
  <si>
    <t>Обслуживание лифтового хозяйства</t>
  </si>
  <si>
    <t>е) порядок использования целевых средств собственников помещений (потребителей) на проведение ремонтных (в т.ч. непредвиденных) работ с указанием начисленной и израсходованной суммы таких резервов, суммой оставшегося резерва .</t>
  </si>
  <si>
    <t>ж) случаи изменения Перечня работ, услуг в соотвествии с порядком, установленным условиями Договора</t>
  </si>
  <si>
    <t>Дзержинского</t>
  </si>
  <si>
    <t>12а</t>
  </si>
  <si>
    <t>Емельянова 43'!A1</t>
  </si>
  <si>
    <t xml:space="preserve">Полезная жилая площадь                </t>
  </si>
  <si>
    <t>35,76/23,27</t>
  </si>
  <si>
    <t>32,28/21,73</t>
  </si>
  <si>
    <t>Задолженность собственников  жилых помещений на 01.01.2019 г</t>
  </si>
  <si>
    <t>Начислено собственникам жилых помещений за 2019 г.</t>
  </si>
  <si>
    <t>Оплачено собственниками жилых помещений за 2019 г</t>
  </si>
  <si>
    <t>Задолженность собственников  нежилых помещений на 01.01.2019 г</t>
  </si>
  <si>
    <t>Начислено собственникам нежилых помещений за 2019 г</t>
  </si>
  <si>
    <t>Оплачено собственниками нежилых помещений за 2019 г</t>
  </si>
  <si>
    <t>Уборка мест сбора и складирование  ТКО</t>
  </si>
  <si>
    <t xml:space="preserve">Обработка подвалов    дератизация </t>
  </si>
  <si>
    <t xml:space="preserve">Обработка подвалов    дезинсекция </t>
  </si>
  <si>
    <t xml:space="preserve">по адресу ул. б-р Анкудинова 7                                 пл дома                                                                              </t>
  </si>
  <si>
    <t xml:space="preserve">по адресу ул. б-р Анкудинова 1                                 пл дома                                                                               </t>
  </si>
  <si>
    <t xml:space="preserve">по адресу ул. б-р Анкудинова 3                                 пл дома                                                                              </t>
  </si>
  <si>
    <t xml:space="preserve">по адресу ул. б-р Анкудинова 5                                 пл дома                                                                              </t>
  </si>
  <si>
    <t xml:space="preserve">по адресу ул. б-р Анкудинова 9                                 пл дома                                                                              </t>
  </si>
  <si>
    <t>По всем интересующим вопросам обращаться по тел.:  76-08-53.</t>
  </si>
  <si>
    <t xml:space="preserve">по адресу ул. б-р Анкудинова 11                                пл дома                                                                              </t>
  </si>
  <si>
    <t xml:space="preserve">по адресу ул. б-р Анкудинова 13                               пл дома                                                                               </t>
  </si>
  <si>
    <t xml:space="preserve">по адресу ул. б-р Анкудинова 17                              пл дома                                                                              </t>
  </si>
  <si>
    <t xml:space="preserve">по адресу ул. б-р Анкудинова 11а                             пл дома                                                                              </t>
  </si>
  <si>
    <t xml:space="preserve">по адресу ул. б-р Анкудинова 17а                             пл дома                                                                              </t>
  </si>
  <si>
    <t xml:space="preserve">по адресу ул. б-р Анкудинова 3б                              пл дома                                                                              </t>
  </si>
  <si>
    <t xml:space="preserve">по адресу ул. б-р Анкудинова 5а                                пл дома                                                                             </t>
  </si>
  <si>
    <t xml:space="preserve">по адресу ул. Тихоокеанская 27                                пл дома                                                                             </t>
  </si>
  <si>
    <t xml:space="preserve">по адресу ул. Горького 12                                          пл дома                                                                              </t>
  </si>
  <si>
    <t xml:space="preserve">по адресу ул. Горького 11б                                       пл дома                                                                              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</si>
  <si>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(Водонагревательное оборудование)  </t>
  </si>
  <si>
    <t>По всем интересующим вопросам обращаться по тел.: 76-08-53.</t>
  </si>
  <si>
    <t xml:space="preserve">по адресу ул. Горького 14                                          пл дома                                                                            </t>
  </si>
  <si>
    <t xml:space="preserve">                   и текущему ремонту общего   имущества дома за 2019 год</t>
  </si>
  <si>
    <t xml:space="preserve">по адресу ул. Горького 16                                          пл дома                                                                          </t>
  </si>
  <si>
    <t xml:space="preserve">по адресу ул. Горького 18                                         пл дома                                                                           </t>
  </si>
  <si>
    <t xml:space="preserve">по адресу ул. Горького 18а                                        пл дома                                                                              </t>
  </si>
  <si>
    <t xml:space="preserve">по адресу ул. Горького 20                                          пл дома                                                                               </t>
  </si>
  <si>
    <t>3. ВДО ГВС</t>
  </si>
  <si>
    <t xml:space="preserve">по адресу ул. Горького 22                                          пл дома                                                                          </t>
  </si>
  <si>
    <t xml:space="preserve">по адресу ул. Горького 14а                                       пл дома                                                                           </t>
  </si>
  <si>
    <t xml:space="preserve">по адресу ул. Горького 20а                                                пл дома                                                                             </t>
  </si>
  <si>
    <t xml:space="preserve">по адресу ул. Дзержинского 12                                  пл дома                                                                            </t>
  </si>
  <si>
    <t xml:space="preserve">по адресу ул. Дзержинского 12А                               пл дома                                                                             </t>
  </si>
  <si>
    <t xml:space="preserve">по адресу ул. Комсомольская 165                              пл дома                                                                            </t>
  </si>
  <si>
    <t xml:space="preserve">по адресу ул. Комсомольская 167                              пл дома                                                                             </t>
  </si>
  <si>
    <t xml:space="preserve">по адресу ул. Комсомольская 169                              пл дома                                                                              </t>
  </si>
  <si>
    <t>Обслуживание мусоропровода</t>
  </si>
  <si>
    <t>ежеднево</t>
  </si>
  <si>
    <t xml:space="preserve">по адресу ул. Комсомольская 191                              пл дома                                                                               </t>
  </si>
  <si>
    <t xml:space="preserve">по адресу ул. Комсомольская 193                             пл дома                                                                             </t>
  </si>
  <si>
    <t xml:space="preserve">по адресу ул. Комсомольская 195                             пл дома                                                                             </t>
  </si>
  <si>
    <t xml:space="preserve">по адресу ул. Комсомольская 167а                           пл дома                                                                               </t>
  </si>
  <si>
    <t xml:space="preserve">по адресу ул. пр. Мира 157                                        пл дома                                                                           </t>
  </si>
  <si>
    <t xml:space="preserve">по адресу ул. пр. Мира 161                                        пл дома                                                                            </t>
  </si>
  <si>
    <t xml:space="preserve">по адресу ул. пр. Мира 163                                         пл дома                                                                        </t>
  </si>
  <si>
    <t xml:space="preserve">по адресу ул. пр. Мира 161а                                       пл дома                                                                           </t>
  </si>
  <si>
    <t>Итого расходы</t>
  </si>
  <si>
    <t xml:space="preserve">по адресу ул. пр. Мира 163а                                       пл дома                                                                             </t>
  </si>
  <si>
    <t xml:space="preserve">по адресу ул. пр. Победы 4                                        пл дома                                                                            </t>
  </si>
  <si>
    <t xml:space="preserve">по адресу ул. пр. Победы 6                                        пл дома                                                                            </t>
  </si>
  <si>
    <t xml:space="preserve">по адресу ул. пр. Победы 6а-2                                   пл дома                                                                           </t>
  </si>
  <si>
    <t xml:space="preserve">по адресу ул. пр. Победы 6а-1                                  пл дома                                                                              </t>
  </si>
  <si>
    <t xml:space="preserve">по адресу ул. пр. Победы 6б                                      пл дома                                                                              </t>
  </si>
  <si>
    <t xml:space="preserve">по адресу ул. пр. Победы 8                                        пл дома                                                                            </t>
  </si>
  <si>
    <t xml:space="preserve">по адресу ул. пр. Победы 10                                      пл дома                                                                         </t>
  </si>
  <si>
    <t xml:space="preserve">по адресу ул. пр. Победы 10б                                    пл дома                                                                           </t>
  </si>
  <si>
    <t xml:space="preserve">по адресу ул. пр. Победы 12                                      пл дома                                                                            </t>
  </si>
  <si>
    <t xml:space="preserve">по адресу ул. пр. Победы 14                                      пл дома                                                                            </t>
  </si>
  <si>
    <t xml:space="preserve">по адресу ул. пр. Победы 16                                      пл дома                                                                           </t>
  </si>
  <si>
    <t xml:space="preserve">по адресу ул. пр. Победы 18                                      пл дома                                                                             </t>
  </si>
  <si>
    <t xml:space="preserve">по адресу ул. пр. Победы 26                                     пл дома                                                                             </t>
  </si>
  <si>
    <t xml:space="preserve">по адресу ул. пр. Победы 48                                     пл дома                                                                             </t>
  </si>
  <si>
    <t xml:space="preserve">по адресу ул. пр. Победы 50                                     пл дома                                                                             </t>
  </si>
  <si>
    <t xml:space="preserve">по адресу ул. пр. Победы 12а                                   пл дома                                                                            </t>
  </si>
  <si>
    <t xml:space="preserve">по адресу ул. Поповича 14                                        пл дома                                                                           </t>
  </si>
  <si>
    <t xml:space="preserve">по адресу ул. Поповича 21                                        пл дома                                                                               </t>
  </si>
  <si>
    <t>Обслуживание лифиового хозяйства</t>
  </si>
  <si>
    <t xml:space="preserve">по адресу ул. Поповича 43                                         пл дома                                                                             </t>
  </si>
  <si>
    <t xml:space="preserve">по адресу ул. Поповича 45                                        пл дома                                                                          </t>
  </si>
  <si>
    <t xml:space="preserve">по адресу ул. Поповича 47                                         пл дома                                                                             </t>
  </si>
  <si>
    <t xml:space="preserve">по адресу ул. Поповича 18а                                       пл дома                                                                           </t>
  </si>
  <si>
    <t xml:space="preserve">по адресу ул. Поповича 20а                                      пл дома                                                                            </t>
  </si>
  <si>
    <t xml:space="preserve">по адресу ул. Поповича 22а                                      пл дома                                                                              </t>
  </si>
  <si>
    <t>Иого расходы</t>
  </si>
  <si>
    <t xml:space="preserve">по адресу ул. Поповича 45а                                       пл дома                                                                            </t>
  </si>
  <si>
    <t xml:space="preserve">по адресу ул. Поповича 25                                       пл дома                                                                             </t>
  </si>
  <si>
    <t xml:space="preserve">по адресу ул. Поповича 43а                                       пл дома                                                                             </t>
  </si>
  <si>
    <t xml:space="preserve">по адресу ул. Невельского 4                                     пл дома                                                                             </t>
  </si>
  <si>
    <t xml:space="preserve">по адресу ул. Невельская 14 кор 1                           пл дома                                                                             </t>
  </si>
  <si>
    <t>Осблуживание лифтового хозяйства</t>
  </si>
  <si>
    <t xml:space="preserve">по адресу ул. Невельская 14 кор 2                           пл дома                                                                              </t>
  </si>
  <si>
    <t xml:space="preserve">по адресу ул. Озерная 2а                                           пл дома                                                                            </t>
  </si>
  <si>
    <t>Обслуживания лифтового хозяйства</t>
  </si>
  <si>
    <t xml:space="preserve">по адресу ул. Озерная 2б                                          пл дома                                                                             </t>
  </si>
  <si>
    <t>Обслживания лифтового хозяйства</t>
  </si>
  <si>
    <t xml:space="preserve">по адресу ул. Сахалинская 13                                  пл дома                                                                             </t>
  </si>
  <si>
    <t xml:space="preserve">по адресу ул. Фабричная 14а                                    пл дома                                                                             </t>
  </si>
  <si>
    <t xml:space="preserve">по адресу ул. Емельянова 43                                     пл дома                                                                              </t>
  </si>
  <si>
    <t>Обслуживания мусоропровода</t>
  </si>
  <si>
    <t xml:space="preserve">по адресу ул. Физкультурная 120                             пл дома                                                                               </t>
  </si>
  <si>
    <t xml:space="preserve">по адресу ул. Физкультурная 122                            пл дома                                                                               </t>
  </si>
  <si>
    <t xml:space="preserve">по адресу ул. Физкультурная 124                             пл дома                                                                               </t>
  </si>
  <si>
    <t xml:space="preserve">по адресу ул. Физкультурная 126                             пл дома                                                                               </t>
  </si>
  <si>
    <t xml:space="preserve">по адресу ул. Физкультурная 128                            пл дома                                                                               </t>
  </si>
  <si>
    <t xml:space="preserve">по адресу ул. Физкультурная 130                            пл дома                                                                               </t>
  </si>
  <si>
    <t xml:space="preserve">по адресу ул. Физкультурная 124а                          пл дома                                                                              </t>
  </si>
  <si>
    <t xml:space="preserve">по адресу ул. Физкультурная 126а                          пл дома                                                                               </t>
  </si>
  <si>
    <t xml:space="preserve">                               договора управления многоквартирным домом за  2019 год                Тариф</t>
  </si>
  <si>
    <t xml:space="preserve">по адресу ул. Физкультурная 126б                           пл дома                                                                               </t>
  </si>
  <si>
    <t>Расходы</t>
  </si>
  <si>
    <t>Осмотр внутридомовых инженерных сетей 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                  Текущий ремонт инженерных сетей           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</si>
  <si>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 Работы по содержанию и ремонту оборудования и систем     инженерно-технического обеспечения ВДО ГВС  </t>
  </si>
  <si>
    <t>Налоги УСН</t>
  </si>
  <si>
    <t>Задолженность арендаторов ,собственников( офисы, магазины) 2020</t>
  </si>
  <si>
    <t>%</t>
  </si>
  <si>
    <t>Задолженность собственников  жилых помещений на 01.01.2020 г</t>
  </si>
  <si>
    <t>Начислено собственникам жилых помещений за 2020 г.</t>
  </si>
  <si>
    <t>Оплачено собственниками жилых помещений за 2020 г</t>
  </si>
  <si>
    <t>Начислено собственникам нежилых помещений за 2020 г</t>
  </si>
  <si>
    <t>Оплачено собственниками нежилых помещений за 2020 г</t>
  </si>
  <si>
    <t xml:space="preserve">                   и текущему ремонту общего   имущества дома за 2020год</t>
  </si>
  <si>
    <t>Уборка л/кл и услуги мытья подъездов</t>
  </si>
  <si>
    <t>Услуги мытья подъезда</t>
  </si>
  <si>
    <t xml:space="preserve">                           договора управления многоквартирным домом за  2020 год               Тариф</t>
  </si>
  <si>
    <t xml:space="preserve">по графику </t>
  </si>
  <si>
    <t>раз в неделю моют первый этаж и лифт и раз в месяц полность все этажи</t>
  </si>
  <si>
    <t xml:space="preserve">                              договора управления многоквартирным домом за  2020 год             Тариф</t>
  </si>
  <si>
    <t>Задолженность собственников  нежилых помещений на 01.01.2020 г</t>
  </si>
  <si>
    <t xml:space="preserve">                   и текущему ремонту общего   имущества дома за 2020 год</t>
  </si>
  <si>
    <t>Услуги мытья подъзда</t>
  </si>
  <si>
    <t>по графику</t>
  </si>
  <si>
    <t>мытье подъезда понедельник, среда , пятница</t>
  </si>
  <si>
    <t xml:space="preserve">                                 договора управления многоквартирным домом за  2020 год          Тариф</t>
  </si>
  <si>
    <t>Жалоб                                     Заявление 4шт</t>
  </si>
  <si>
    <t xml:space="preserve">                                 договора управления многоквартирным домом за  2020 год              Тариф</t>
  </si>
  <si>
    <t xml:space="preserve">                                  договора управления многоквартирным домом за  2020 год               Тариф</t>
  </si>
  <si>
    <t xml:space="preserve">                              договора управления многоквартирным домом за  2020год             Тариф</t>
  </si>
  <si>
    <t xml:space="preserve">                           договора управления многоквартирным домом за  2020 год              Тариф</t>
  </si>
  <si>
    <t>УСН (6%)</t>
  </si>
  <si>
    <t>Затраты    с января  по   декабрь 2021 г</t>
  </si>
  <si>
    <t>Задолженность жителей  на 01.01.2021г     тех/сод</t>
  </si>
  <si>
    <t xml:space="preserve">                     договора управления многоквартирным домом за  2021 г                 тариф</t>
  </si>
  <si>
    <t>Задолженность собственников  жилых помещений на 01.01.2021 г</t>
  </si>
  <si>
    <t>Начислено собственникам жилых помещений за 2021 г.</t>
  </si>
  <si>
    <t>Оплачено собственниками жилых помещений за 2021 г</t>
  </si>
  <si>
    <t>Задолженность собственников  нежилых помещений на 01.01.2021 г</t>
  </si>
  <si>
    <t>Начислено собственникам нежилых помещений за 2021 г</t>
  </si>
  <si>
    <t>Оплачено собственниками нежилых помещений за 2021 г</t>
  </si>
  <si>
    <t xml:space="preserve">                   и текущему ремонту общего   имущества дома за 2021год</t>
  </si>
  <si>
    <t xml:space="preserve">                    договора управления многоквартирным домом за  2021 год                тариф</t>
  </si>
  <si>
    <t xml:space="preserve">                  договора управления многоквартирным домом за  2021 год                  Тариф</t>
  </si>
  <si>
    <t xml:space="preserve">                     договора управления многоквартирным домом за  2021 год             Тариф</t>
  </si>
  <si>
    <t xml:space="preserve">               договора управления многоквартирным домом за  2021 год                  Тариф</t>
  </si>
  <si>
    <t xml:space="preserve">                      договора управления многоквартирным домом за  2021 год                            Тариф</t>
  </si>
  <si>
    <t xml:space="preserve">                       договора управления многоквартирным домом за  2021 год            Тариф</t>
  </si>
  <si>
    <t xml:space="preserve">                          договора управления многоквартирным домом за  2021 год                  тариф</t>
  </si>
  <si>
    <t xml:space="preserve">                           договора управления многоквартирным домом за  2021 год            Тариф</t>
  </si>
  <si>
    <t xml:space="preserve">                             договора управления многоквартирным домом за  2021 год               Тариф</t>
  </si>
  <si>
    <t xml:space="preserve">                              договора управления многоквартирным домом за  2021 год              Тариф</t>
  </si>
  <si>
    <t xml:space="preserve">                             договора управления многоквартирным домом за  2021 год              Тариф</t>
  </si>
  <si>
    <t>Начислено арендаторам ,собственникам( офисы, магазины) 2021</t>
  </si>
  <si>
    <t>Поступления с арендаторов ,собственников( офисы, магазины) 2021</t>
  </si>
  <si>
    <t>Задолженность арендаторов ,собственников( офисы, магазины) 2021</t>
  </si>
  <si>
    <r>
      <t xml:space="preserve">Начислено жителям дома </t>
    </r>
    <r>
      <rPr>
        <b/>
        <sz val="10"/>
        <rFont val="Arial Cyr"/>
        <family val="0"/>
      </rPr>
      <t xml:space="preserve">тех/сод  </t>
    </r>
    <r>
      <rPr>
        <sz val="10"/>
        <rFont val="Arial Cyr"/>
        <family val="0"/>
      </rPr>
      <t xml:space="preserve"> 2021г.</t>
    </r>
  </si>
  <si>
    <r>
      <t xml:space="preserve">Оплачено жителями по </t>
    </r>
    <r>
      <rPr>
        <b/>
        <sz val="10"/>
        <rFont val="Arial Cyr"/>
        <family val="0"/>
      </rPr>
      <t xml:space="preserve">тех/сод     </t>
    </r>
    <r>
      <rPr>
        <sz val="10"/>
        <rFont val="Arial Cyr"/>
        <family val="0"/>
      </rPr>
      <t>2021г.</t>
    </r>
  </si>
  <si>
    <r>
      <t xml:space="preserve">Сделано перерасчетов по дому </t>
    </r>
    <r>
      <rPr>
        <b/>
        <sz val="10"/>
        <rFont val="Arial Cyr"/>
        <family val="0"/>
      </rPr>
      <t xml:space="preserve">тех/сод </t>
    </r>
    <r>
      <rPr>
        <sz val="10"/>
        <rFont val="Arial Cyr"/>
        <family val="0"/>
      </rPr>
      <t xml:space="preserve">     2021 г.</t>
    </r>
  </si>
  <si>
    <r>
      <t xml:space="preserve">Задолженность жителей по </t>
    </r>
    <r>
      <rPr>
        <b/>
        <sz val="10"/>
        <rFont val="Arial Cyr"/>
        <family val="0"/>
      </rPr>
      <t>тех сод на</t>
    </r>
    <r>
      <rPr>
        <sz val="10"/>
        <rFont val="Arial Cyr"/>
        <family val="0"/>
      </rPr>
      <t xml:space="preserve">         31.12.2021 г. </t>
    </r>
  </si>
  <si>
    <t>договора управления многоквартирным домом за  2021 год</t>
  </si>
  <si>
    <t xml:space="preserve">                               договора управления многоквартирным домом за  2021 год               Тариф </t>
  </si>
  <si>
    <t>Начислено собственникам нежилых помещений за 2021г</t>
  </si>
  <si>
    <t>Оплачено собственниками нежилых помещений за 2021г</t>
  </si>
  <si>
    <t xml:space="preserve">                   и текущему ремонту общего   имущества дома за 2021 год</t>
  </si>
  <si>
    <t xml:space="preserve">                            договора управления многоквартирным домом за  2021 год           Тариф</t>
  </si>
  <si>
    <t xml:space="preserve">                           договора управления многоквартирным домом за  2021 год                     Тариф</t>
  </si>
  <si>
    <t xml:space="preserve">                                договора управления многоквартирным домом за  2021 год                  Тариф</t>
  </si>
  <si>
    <t xml:space="preserve">                             договора управления многоквартирным домом за  2021 год           Тариф</t>
  </si>
  <si>
    <t xml:space="preserve">                                договора управления многоквартирным домом за  2021 год             Тариф</t>
  </si>
  <si>
    <t xml:space="preserve">                              договора управления многоквартирным домом за  2021 год            Тариф</t>
  </si>
  <si>
    <t>Задолженность собственников жилых помещений на 01.01.2021 г</t>
  </si>
  <si>
    <t xml:space="preserve">                              договора управления многоквартирным домом за  2021 год                Тариф</t>
  </si>
  <si>
    <t xml:space="preserve">                               договора управления многоквартирным домом за  2021 год               Тариф</t>
  </si>
  <si>
    <t xml:space="preserve">                               договора управления многоквартирным домом за  2021 год          Тариф </t>
  </si>
  <si>
    <t xml:space="preserve">                               договора управления многоквартирным домом за  2021 год              Тариф</t>
  </si>
  <si>
    <t xml:space="preserve">                            договора управления многоквартирным домом за  2021 год              Тариф </t>
  </si>
  <si>
    <t xml:space="preserve">                            договора управления многоквартирным домом за  2021 год          Тариф</t>
  </si>
  <si>
    <t xml:space="preserve">                             договора управления многоквартирным домом за  2021 год             Тариф</t>
  </si>
  <si>
    <t xml:space="preserve">                          договора управления многоквартирным домом за  2021 год          Тариф</t>
  </si>
  <si>
    <t xml:space="preserve">                             договора управления многоквартирным домом за  2021 год              Тариф </t>
  </si>
  <si>
    <t xml:space="preserve">                              договора управления многоквартирным домом за  2021 год          тариф</t>
  </si>
  <si>
    <t xml:space="preserve">                                  договора управления многоквартирным домом за  2021 год          Тариф</t>
  </si>
  <si>
    <t xml:space="preserve">                              договора управления многоквартирным домом за  2021 год             Тариф</t>
  </si>
  <si>
    <t xml:space="preserve">                                 договора управления многоквартирным домом за  2021 год            Тариф</t>
  </si>
  <si>
    <t xml:space="preserve">                                договора управления многоквартирным домом за  2021 год              Тариф</t>
  </si>
  <si>
    <t xml:space="preserve">                              договора управления многоквартирным домом за  2021год             Тариф</t>
  </si>
  <si>
    <t xml:space="preserve">                                договора управления многоквартирным домом за  2021 год               Тариф</t>
  </si>
  <si>
    <t xml:space="preserve">                          договора управления многоквартирным домом за  2021 год               Тариф</t>
  </si>
  <si>
    <t xml:space="preserve">                              договора управления многоквартирным домом за  2021 год           Тариф</t>
  </si>
  <si>
    <t xml:space="preserve">                                договора управления многоквартирным домом за  2021 год           Тариф</t>
  </si>
  <si>
    <t xml:space="preserve">                                 договора управления многоквартирным домом за  2021 год               Тариф</t>
  </si>
  <si>
    <t xml:space="preserve">                              договора управления многоквартирным домом за  2021 год               Тариф</t>
  </si>
  <si>
    <t xml:space="preserve">                              договора управления многоквартирным домом за  2021 год                 Тариф</t>
  </si>
  <si>
    <t xml:space="preserve">                             договора управления многоквартирным домом за  2021год                Тариф </t>
  </si>
  <si>
    <t xml:space="preserve">                              договора управления многоквартирным домом за  2021 год              Тариф </t>
  </si>
  <si>
    <t xml:space="preserve">                            договора управления многоквартирным домом за  2021 год               Тариф</t>
  </si>
  <si>
    <t xml:space="preserve">                                договора управления многоквартирным домом за  2021 год            Тариф</t>
  </si>
  <si>
    <t>Начислено собственникам жилых помещений за 2021г.</t>
  </si>
  <si>
    <t xml:space="preserve">                        договора управления многоквартирным домом за  2021 год                     Тариф</t>
  </si>
  <si>
    <t xml:space="preserve">                             договора управления многоквартирным домом за  2021 год                Тариф </t>
  </si>
  <si>
    <t xml:space="preserve">                           договора управления многоквартирным домом за  2021 год                 Тариф</t>
  </si>
  <si>
    <t xml:space="preserve">                             договора управления многоквартирным домом за  2021 год                  Тариф</t>
  </si>
  <si>
    <t xml:space="preserve">                             договора управления многоквартирным домом за  2021 год                Тариф</t>
  </si>
  <si>
    <t xml:space="preserve">                          договора управления многоквартирным домом за  2021 год                 Тариф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</si>
</sst>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#,##0.00_р_."/>
    <numFmt numFmtId="176" formatCode="#,##0.0"/>
    <numFmt numFmtId="177" formatCode="0.0"/>
    <numFmt numFmtId="178" formatCode="[$-FC19]d\ mmmm\ yyyy\ &quot;г.&quot;"/>
    <numFmt numFmtId="179" formatCode="#,##0.000"/>
    <numFmt numFmtId="180" formatCode="0.000000"/>
    <numFmt numFmtId="181" formatCode="0.000000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 Cyr"/>
      <family val="0"/>
    </font>
    <font>
      <b/>
      <sz val="11"/>
      <color indexed="48"/>
      <name val="Arial Cyr"/>
      <family val="0"/>
    </font>
    <font>
      <i/>
      <sz val="11"/>
      <color indexed="63"/>
      <name val="Times New Roman"/>
      <family val="1"/>
    </font>
    <font>
      <sz val="8"/>
      <name val="Arial Cyr"/>
      <family val="0"/>
    </font>
    <font>
      <b/>
      <i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4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sz val="10"/>
      <color indexed="60"/>
      <name val="Arial Cyr"/>
      <family val="0"/>
    </font>
    <font>
      <sz val="10"/>
      <color indexed="5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4" tint="-0.4999699890613556"/>
      <name val="Arial Cyr"/>
      <family val="0"/>
    </font>
    <font>
      <sz val="10"/>
      <color theme="9" tint="-0.4999699890613556"/>
      <name val="Arial Cyr"/>
      <family val="0"/>
    </font>
    <font>
      <sz val="10"/>
      <color theme="9" tint="-0.24997000396251678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0E23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1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3" fontId="0" fillId="37" borderId="12" xfId="0" applyNumberFormat="1" applyFill="1" applyBorder="1" applyAlignment="1">
      <alignment horizontal="center"/>
    </xf>
    <xf numFmtId="3" fontId="0" fillId="37" borderId="13" xfId="0" applyNumberFormat="1" applyFill="1" applyBorder="1" applyAlignment="1">
      <alignment horizontal="center"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0" fillId="38" borderId="12" xfId="0" applyNumberFormat="1" applyFill="1" applyBorder="1" applyAlignment="1">
      <alignment horizontal="center"/>
    </xf>
    <xf numFmtId="3" fontId="0" fillId="38" borderId="13" xfId="0" applyNumberFormat="1" applyFill="1" applyBorder="1" applyAlignment="1">
      <alignment horizontal="center"/>
    </xf>
    <xf numFmtId="0" fontId="0" fillId="38" borderId="14" xfId="0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0" fontId="10" fillId="38" borderId="15" xfId="0" applyFont="1" applyFill="1" applyBorder="1" applyAlignment="1">
      <alignment horizontal="left" vertical="top" wrapText="1" indent="9"/>
    </xf>
    <xf numFmtId="0" fontId="10" fillId="38" borderId="16" xfId="0" applyFont="1" applyFill="1" applyBorder="1" applyAlignment="1">
      <alignment vertical="top" wrapText="1"/>
    </xf>
    <xf numFmtId="0" fontId="10" fillId="38" borderId="17" xfId="0" applyFont="1" applyFill="1" applyBorder="1" applyAlignment="1">
      <alignment vertical="top" wrapText="1"/>
    </xf>
    <xf numFmtId="0" fontId="10" fillId="38" borderId="18" xfId="0" applyFont="1" applyFill="1" applyBorder="1" applyAlignment="1">
      <alignment horizontal="left" vertical="top" wrapText="1" indent="9"/>
    </xf>
    <xf numFmtId="0" fontId="11" fillId="38" borderId="18" xfId="0" applyFont="1" applyFill="1" applyBorder="1" applyAlignment="1">
      <alignment vertical="top" wrapText="1"/>
    </xf>
    <xf numFmtId="0" fontId="12" fillId="38" borderId="18" xfId="0" applyFont="1" applyFill="1" applyBorder="1" applyAlignment="1">
      <alignment vertical="top" wrapText="1"/>
    </xf>
    <xf numFmtId="0" fontId="11" fillId="38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175" fontId="11" fillId="0" borderId="2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5" fontId="11" fillId="0" borderId="19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2" fillId="38" borderId="22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9" fillId="38" borderId="22" xfId="0" applyFont="1" applyFill="1" applyBorder="1" applyAlignment="1">
      <alignment horizontal="left"/>
    </xf>
    <xf numFmtId="0" fontId="11" fillId="0" borderId="23" xfId="0" applyFont="1" applyBorder="1" applyAlignment="1">
      <alignment/>
    </xf>
    <xf numFmtId="4" fontId="12" fillId="38" borderId="12" xfId="0" applyNumberFormat="1" applyFont="1" applyFill="1" applyBorder="1" applyAlignment="1">
      <alignment horizontal="center" vertical="top" wrapText="1"/>
    </xf>
    <xf numFmtId="0" fontId="9" fillId="39" borderId="24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8" borderId="13" xfId="0" applyFont="1" applyFill="1" applyBorder="1" applyAlignment="1">
      <alignment horizontal="center"/>
    </xf>
    <xf numFmtId="3" fontId="0" fillId="38" borderId="13" xfId="0" applyNumberFormat="1" applyFont="1" applyFill="1" applyBorder="1" applyAlignment="1">
      <alignment horizontal="center"/>
    </xf>
    <xf numFmtId="4" fontId="0" fillId="38" borderId="12" xfId="0" applyNumberFormat="1" applyFont="1" applyFill="1" applyBorder="1" applyAlignment="1">
      <alignment horizontal="center"/>
    </xf>
    <xf numFmtId="4" fontId="0" fillId="38" borderId="25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3" fontId="0" fillId="38" borderId="26" xfId="0" applyNumberFormat="1" applyFont="1" applyFill="1" applyBorder="1" applyAlignment="1">
      <alignment horizontal="center"/>
    </xf>
    <xf numFmtId="4" fontId="0" fillId="38" borderId="27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3" fontId="14" fillId="38" borderId="28" xfId="42" applyNumberFormat="1" applyFill="1" applyBorder="1" applyAlignment="1" applyProtection="1">
      <alignment/>
      <protection/>
    </xf>
    <xf numFmtId="4" fontId="0" fillId="38" borderId="25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3" fontId="14" fillId="38" borderId="12" xfId="42" applyNumberFormat="1" applyFill="1" applyBorder="1" applyAlignment="1" applyProtection="1">
      <alignment/>
      <protection/>
    </xf>
    <xf numFmtId="3" fontId="14" fillId="38" borderId="25" xfId="42" applyNumberFormat="1" applyFill="1" applyBorder="1" applyAlignment="1" applyProtection="1">
      <alignment/>
      <protection/>
    </xf>
    <xf numFmtId="175" fontId="11" fillId="0" borderId="29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" fontId="16" fillId="40" borderId="12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vertical="top" wrapText="1"/>
    </xf>
    <xf numFmtId="175" fontId="12" fillId="41" borderId="2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75" fontId="11" fillId="0" borderId="33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38" borderId="12" xfId="0" applyNumberFormat="1" applyFont="1" applyFill="1" applyBorder="1" applyAlignment="1">
      <alignment horizontal="center"/>
    </xf>
    <xf numFmtId="0" fontId="12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11" fillId="0" borderId="36" xfId="0" applyFont="1" applyBorder="1" applyAlignment="1">
      <alignment/>
    </xf>
    <xf numFmtId="175" fontId="12" fillId="41" borderId="37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9" fillId="38" borderId="22" xfId="0" applyFont="1" applyFill="1" applyBorder="1" applyAlignment="1">
      <alignment horizontal="center"/>
    </xf>
    <xf numFmtId="175" fontId="12" fillId="41" borderId="3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4" fontId="66" fillId="38" borderId="12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4" fontId="6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9" fontId="0" fillId="38" borderId="12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0" fillId="40" borderId="12" xfId="0" applyNumberFormat="1" applyFont="1" applyFill="1" applyBorder="1" applyAlignment="1">
      <alignment/>
    </xf>
    <xf numFmtId="49" fontId="0" fillId="38" borderId="12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4" fontId="0" fillId="40" borderId="25" xfId="0" applyNumberFormat="1" applyFont="1" applyFill="1" applyBorder="1" applyAlignment="1">
      <alignment horizontal="center"/>
    </xf>
    <xf numFmtId="4" fontId="0" fillId="40" borderId="28" xfId="0" applyNumberFormat="1" applyFont="1" applyFill="1" applyBorder="1" applyAlignment="1">
      <alignment horizontal="center"/>
    </xf>
    <xf numFmtId="0" fontId="0" fillId="40" borderId="28" xfId="0" applyFont="1" applyFill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43" borderId="24" xfId="0" applyFont="1" applyFill="1" applyBorder="1" applyAlignment="1">
      <alignment horizontal="left" vertical="center" wrapText="1"/>
    </xf>
    <xf numFmtId="0" fontId="13" fillId="43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49" fontId="11" fillId="0" borderId="31" xfId="0" applyNumberFormat="1" applyFont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175" fontId="11" fillId="0" borderId="39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175" fontId="11" fillId="0" borderId="33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/>
    </xf>
    <xf numFmtId="175" fontId="11" fillId="0" borderId="39" xfId="0" applyNumberFormat="1" applyFont="1" applyBorder="1" applyAlignment="1">
      <alignment horizontal="center"/>
    </xf>
    <xf numFmtId="175" fontId="11" fillId="0" borderId="33" xfId="0" applyNumberFormat="1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175" fontId="11" fillId="0" borderId="40" xfId="0" applyNumberFormat="1" applyFont="1" applyBorder="1" applyAlignment="1">
      <alignment/>
    </xf>
    <xf numFmtId="0" fontId="12" fillId="0" borderId="41" xfId="0" applyFont="1" applyFill="1" applyBorder="1" applyAlignment="1">
      <alignment horizontal="left" vertical="center" wrapText="1"/>
    </xf>
    <xf numFmtId="175" fontId="11" fillId="0" borderId="39" xfId="0" applyNumberFormat="1" applyFont="1" applyBorder="1" applyAlignment="1">
      <alignment/>
    </xf>
    <xf numFmtId="0" fontId="12" fillId="0" borderId="30" xfId="0" applyFont="1" applyBorder="1" applyAlignment="1">
      <alignment/>
    </xf>
    <xf numFmtId="175" fontId="11" fillId="0" borderId="42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horizontal="center" vertical="top" wrapText="1"/>
    </xf>
    <xf numFmtId="175" fontId="11" fillId="0" borderId="37" xfId="0" applyNumberFormat="1" applyFont="1" applyFill="1" applyBorder="1" applyAlignment="1">
      <alignment horizontal="center" vertical="top" wrapText="1"/>
    </xf>
    <xf numFmtId="0" fontId="13" fillId="41" borderId="24" xfId="0" applyFont="1" applyFill="1" applyBorder="1" applyAlignment="1">
      <alignment horizontal="left" vertical="center" wrapText="1"/>
    </xf>
    <xf numFmtId="175" fontId="11" fillId="0" borderId="43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vertical="top" wrapText="1"/>
    </xf>
    <xf numFmtId="0" fontId="10" fillId="38" borderId="18" xfId="0" applyFont="1" applyFill="1" applyBorder="1" applyAlignment="1">
      <alignment vertical="top" wrapText="1"/>
    </xf>
    <xf numFmtId="0" fontId="0" fillId="41" borderId="0" xfId="0" applyFill="1" applyBorder="1" applyAlignment="1">
      <alignment/>
    </xf>
    <xf numFmtId="4" fontId="6" fillId="41" borderId="12" xfId="0" applyNumberFormat="1" applyFont="1" applyFill="1" applyBorder="1" applyAlignment="1">
      <alignment/>
    </xf>
    <xf numFmtId="0" fontId="0" fillId="41" borderId="12" xfId="0" applyFill="1" applyBorder="1" applyAlignment="1">
      <alignment/>
    </xf>
    <xf numFmtId="4" fontId="67" fillId="35" borderId="12" xfId="0" applyNumberFormat="1" applyFont="1" applyFill="1" applyBorder="1" applyAlignment="1">
      <alignment horizontal="center"/>
    </xf>
    <xf numFmtId="176" fontId="67" fillId="35" borderId="12" xfId="0" applyNumberFormat="1" applyFont="1" applyFill="1" applyBorder="1" applyAlignment="1">
      <alignment horizontal="center"/>
    </xf>
    <xf numFmtId="4" fontId="67" fillId="36" borderId="12" xfId="0" applyNumberFormat="1" applyFont="1" applyFill="1" applyBorder="1" applyAlignment="1">
      <alignment/>
    </xf>
    <xf numFmtId="4" fontId="67" fillId="36" borderId="1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9" fontId="11" fillId="0" borderId="34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3" fillId="43" borderId="24" xfId="0" applyFont="1" applyFill="1" applyBorder="1" applyAlignment="1">
      <alignment horizontal="left" vertical="center" wrapText="1"/>
    </xf>
    <xf numFmtId="0" fontId="13" fillId="41" borderId="4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/>
    </xf>
    <xf numFmtId="0" fontId="13" fillId="41" borderId="15" xfId="0" applyFont="1" applyFill="1" applyBorder="1" applyAlignment="1">
      <alignment horizontal="left" vertical="center" wrapText="1"/>
    </xf>
    <xf numFmtId="175" fontId="11" fillId="0" borderId="17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vertical="top" wrapText="1"/>
    </xf>
    <xf numFmtId="3" fontId="14" fillId="38" borderId="28" xfId="42" applyNumberFormat="1" applyFill="1" applyBorder="1" applyAlignment="1" applyProtection="1" quotePrefix="1">
      <alignment/>
      <protection/>
    </xf>
    <xf numFmtId="0" fontId="11" fillId="0" borderId="12" xfId="0" applyFont="1" applyFill="1" applyBorder="1" applyAlignment="1">
      <alignment vertical="top" wrapText="1"/>
    </xf>
    <xf numFmtId="175" fontId="11" fillId="0" borderId="12" xfId="0" applyNumberFormat="1" applyFont="1" applyFill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center"/>
    </xf>
    <xf numFmtId="3" fontId="1" fillId="35" borderId="12" xfId="0" applyNumberFormat="1" applyFont="1" applyFill="1" applyBorder="1" applyAlignment="1">
      <alignment horizontal="center"/>
    </xf>
    <xf numFmtId="3" fontId="67" fillId="35" borderId="12" xfId="0" applyNumberFormat="1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 horizontal="center"/>
    </xf>
    <xf numFmtId="175" fontId="11" fillId="0" borderId="12" xfId="0" applyNumberFormat="1" applyFont="1" applyFill="1" applyBorder="1" applyAlignment="1">
      <alignment horizontal="center" vertical="center" wrapText="1"/>
    </xf>
    <xf numFmtId="175" fontId="11" fillId="0" borderId="33" xfId="0" applyNumberFormat="1" applyFont="1" applyBorder="1" applyAlignment="1">
      <alignment horizontal="center"/>
    </xf>
    <xf numFmtId="175" fontId="11" fillId="0" borderId="40" xfId="0" applyNumberFormat="1" applyFont="1" applyBorder="1" applyAlignment="1">
      <alignment horizontal="center"/>
    </xf>
    <xf numFmtId="4" fontId="67" fillId="40" borderId="12" xfId="0" applyNumberFormat="1" applyFont="1" applyFill="1" applyBorder="1" applyAlignment="1">
      <alignment/>
    </xf>
    <xf numFmtId="4" fontId="67" fillId="34" borderId="12" xfId="0" applyNumberFormat="1" applyFont="1" applyFill="1" applyBorder="1" applyAlignment="1">
      <alignment horizontal="center"/>
    </xf>
    <xf numFmtId="4" fontId="67" fillId="34" borderId="12" xfId="0" applyNumberFormat="1" applyFont="1" applyFill="1" applyBorder="1" applyAlignment="1">
      <alignment/>
    </xf>
    <xf numFmtId="175" fontId="11" fillId="0" borderId="23" xfId="0" applyNumberFormat="1" applyFont="1" applyFill="1" applyBorder="1" applyAlignment="1">
      <alignment horizontal="center" vertical="center" wrapText="1"/>
    </xf>
    <xf numFmtId="4" fontId="9" fillId="38" borderId="22" xfId="0" applyNumberFormat="1" applyFont="1" applyFill="1" applyBorder="1" applyAlignment="1">
      <alignment horizontal="center"/>
    </xf>
    <xf numFmtId="4" fontId="9" fillId="38" borderId="12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28" xfId="0" applyFont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175" fontId="11" fillId="0" borderId="2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175" fontId="11" fillId="0" borderId="13" xfId="0" applyNumberFormat="1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left" vertical="center" wrapText="1"/>
    </xf>
    <xf numFmtId="4" fontId="11" fillId="0" borderId="33" xfId="0" applyNumberFormat="1" applyFont="1" applyBorder="1" applyAlignment="1">
      <alignment horizontal="center"/>
    </xf>
    <xf numFmtId="4" fontId="9" fillId="38" borderId="22" xfId="0" applyNumberFormat="1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center" vertical="center" wrapText="1"/>
    </xf>
    <xf numFmtId="175" fontId="12" fillId="0" borderId="46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/>
    </xf>
    <xf numFmtId="175" fontId="11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5" fontId="12" fillId="0" borderId="17" xfId="0" applyNumberFormat="1" applyFont="1" applyFill="1" applyBorder="1" applyAlignment="1">
      <alignment horizontal="center" vertical="center" wrapText="1"/>
    </xf>
    <xf numFmtId="175" fontId="11" fillId="0" borderId="19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/>
    </xf>
    <xf numFmtId="175" fontId="12" fillId="0" borderId="49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top" wrapText="1"/>
    </xf>
    <xf numFmtId="175" fontId="11" fillId="0" borderId="17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top" wrapText="1"/>
    </xf>
    <xf numFmtId="175" fontId="11" fillId="0" borderId="28" xfId="0" applyNumberFormat="1" applyFont="1" applyFill="1" applyBorder="1" applyAlignment="1">
      <alignment horizontal="center" vertical="center" wrapText="1"/>
    </xf>
    <xf numFmtId="175" fontId="11" fillId="0" borderId="12" xfId="0" applyNumberFormat="1" applyFont="1" applyFill="1" applyBorder="1" applyAlignment="1">
      <alignment vertical="center" wrapText="1"/>
    </xf>
    <xf numFmtId="175" fontId="11" fillId="0" borderId="23" xfId="0" applyNumberFormat="1" applyFont="1" applyFill="1" applyBorder="1" applyAlignment="1">
      <alignment vertical="center" wrapText="1"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11" fillId="0" borderId="48" xfId="0" applyFont="1" applyFill="1" applyBorder="1" applyAlignment="1">
      <alignment vertical="center" wrapText="1"/>
    </xf>
    <xf numFmtId="4" fontId="11" fillId="0" borderId="46" xfId="0" applyNumberFormat="1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left" vertical="center" wrapText="1"/>
    </xf>
    <xf numFmtId="2" fontId="0" fillId="41" borderId="12" xfId="0" applyNumberFormat="1" applyFill="1" applyBorder="1" applyAlignment="1">
      <alignment/>
    </xf>
    <xf numFmtId="2" fontId="0" fillId="41" borderId="12" xfId="0" applyNumberFormat="1" applyFont="1" applyFill="1" applyBorder="1" applyAlignment="1">
      <alignment/>
    </xf>
    <xf numFmtId="2" fontId="68" fillId="41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4" fontId="69" fillId="33" borderId="12" xfId="0" applyNumberFormat="1" applyFont="1" applyFill="1" applyBorder="1" applyAlignment="1">
      <alignment/>
    </xf>
    <xf numFmtId="4" fontId="69" fillId="35" borderId="12" xfId="0" applyNumberFormat="1" applyFont="1" applyFill="1" applyBorder="1" applyAlignment="1">
      <alignment/>
    </xf>
    <xf numFmtId="4" fontId="70" fillId="34" borderId="12" xfId="0" applyNumberFormat="1" applyFont="1" applyFill="1" applyBorder="1" applyAlignment="1">
      <alignment/>
    </xf>
    <xf numFmtId="4" fontId="70" fillId="34" borderId="12" xfId="0" applyNumberFormat="1" applyFont="1" applyFill="1" applyBorder="1" applyAlignment="1">
      <alignment horizontal="center"/>
    </xf>
    <xf numFmtId="2" fontId="70" fillId="34" borderId="12" xfId="0" applyNumberFormat="1" applyFont="1" applyFill="1" applyBorder="1" applyAlignment="1">
      <alignment horizontal="center"/>
    </xf>
    <xf numFmtId="4" fontId="70" fillId="34" borderId="12" xfId="0" applyNumberFormat="1" applyFont="1" applyFill="1" applyBorder="1" applyAlignment="1">
      <alignment/>
    </xf>
    <xf numFmtId="4" fontId="70" fillId="34" borderId="12" xfId="0" applyNumberFormat="1" applyFont="1" applyFill="1" applyBorder="1" applyAlignment="1">
      <alignment horizontal="right"/>
    </xf>
    <xf numFmtId="4" fontId="70" fillId="36" borderId="12" xfId="0" applyNumberFormat="1" applyFont="1" applyFill="1" applyBorder="1" applyAlignment="1">
      <alignment/>
    </xf>
    <xf numFmtId="3" fontId="67" fillId="36" borderId="12" xfId="0" applyNumberFormat="1" applyFont="1" applyFill="1" applyBorder="1" applyAlignment="1">
      <alignment horizontal="center"/>
    </xf>
    <xf numFmtId="3" fontId="14" fillId="41" borderId="28" xfId="42" applyNumberFormat="1" applyFill="1" applyBorder="1" applyAlignment="1" applyProtection="1">
      <alignment/>
      <protection/>
    </xf>
    <xf numFmtId="4" fontId="6" fillId="0" borderId="4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11" fillId="38" borderId="47" xfId="0" applyNumberFormat="1" applyFont="1" applyFill="1" applyBorder="1" applyAlignment="1">
      <alignment horizontal="center" vertical="top" wrapText="1"/>
    </xf>
    <xf numFmtId="4" fontId="11" fillId="38" borderId="5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38" borderId="48" xfId="0" applyFont="1" applyFill="1" applyBorder="1" applyAlignment="1">
      <alignment horizontal="center" vertical="top" wrapText="1"/>
    </xf>
    <xf numFmtId="0" fontId="10" fillId="38" borderId="52" xfId="0" applyFont="1" applyFill="1" applyBorder="1" applyAlignment="1">
      <alignment horizontal="center" vertical="top" wrapText="1"/>
    </xf>
    <xf numFmtId="4" fontId="2" fillId="38" borderId="53" xfId="0" applyNumberFormat="1" applyFont="1" applyFill="1" applyBorder="1" applyAlignment="1">
      <alignment horizontal="center" vertical="top" wrapText="1"/>
    </xf>
    <xf numFmtId="4" fontId="2" fillId="38" borderId="54" xfId="0" applyNumberFormat="1" applyFont="1" applyFill="1" applyBorder="1" applyAlignment="1">
      <alignment horizontal="center" vertical="top" wrapText="1"/>
    </xf>
    <xf numFmtId="4" fontId="21" fillId="38" borderId="47" xfId="0" applyNumberFormat="1" applyFont="1" applyFill="1" applyBorder="1" applyAlignment="1">
      <alignment horizontal="center" vertical="top" wrapText="1"/>
    </xf>
    <xf numFmtId="4" fontId="21" fillId="38" borderId="51" xfId="0" applyNumberFormat="1" applyFont="1" applyFill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75" fontId="11" fillId="0" borderId="60" xfId="0" applyNumberFormat="1" applyFont="1" applyFill="1" applyBorder="1" applyAlignment="1">
      <alignment horizontal="center" vertical="center" wrapText="1"/>
    </xf>
    <xf numFmtId="175" fontId="11" fillId="0" borderId="37" xfId="0" applyNumberFormat="1" applyFont="1" applyFill="1" applyBorder="1" applyAlignment="1">
      <alignment horizontal="center" vertical="center" wrapText="1"/>
    </xf>
    <xf numFmtId="0" fontId="10" fillId="38" borderId="46" xfId="0" applyFont="1" applyFill="1" applyBorder="1" applyAlignment="1">
      <alignment horizontal="center" vertical="top" wrapText="1"/>
    </xf>
    <xf numFmtId="175" fontId="11" fillId="0" borderId="4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6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6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externalLink" Target="externalLinks/externalLink1.xml" /><Relationship Id="rId89" Type="http://schemas.openxmlformats.org/officeDocument/2006/relationships/externalLink" Target="externalLinks/externalLink2.xml" /><Relationship Id="rId90" Type="http://schemas.openxmlformats.org/officeDocument/2006/relationships/externalLink" Target="externalLinks/externalLink3.xml" /><Relationship Id="rId91" Type="http://schemas.openxmlformats.org/officeDocument/2006/relationships/externalLink" Target="externalLinks/externalLink4.xml" /><Relationship Id="rId92" Type="http://schemas.openxmlformats.org/officeDocument/2006/relationships/externalLink" Target="externalLinks/externalLink5.xml" /><Relationship Id="rId93" Type="http://schemas.openxmlformats.org/officeDocument/2006/relationships/externalLink" Target="externalLinks/externalLink6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8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2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21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6;&#1086;&#1084;&#1086;&#1089;&#1090;&#1080;%202021\40.03.01&#1073;%202021%20&#1078;7(%20&#1050;&#1054;&#1056;&#1056;%20&#1042;&#1077;&#1076;&#1086;&#1084;&#1086;&#1089;&#1090;&#1100;%202021&#1075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&#1087;&#1082;\&#1089;&#1077;&#1090;&#1100;\Users\&#1050;&#1072;&#1089;&#1089;&#1080;&#1088;\Desktop\&#1054;&#1090;&#1095;&#1077;&#1090;%20&#1089;%202008%20&#1087;&#1086;%202010,2011,2012\&#1047;&#1072;&#1090;&#1088;&#1072;&#1090;&#1099;%20&#1087;&#1086;%20&#1076;&#1086;&#1084;&#1072;&#1084;%202020%20&#1075;&#1086;&#1076;\&#1047;&#1072;&#1090;&#1088;&#1072;&#1090;&#1099;%20&#1087;&#1086;%20&#1076;&#1086;&#1084;&#1072;&#1084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8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2">
          <cell r="I12">
            <v>3087.6</v>
          </cell>
        </row>
        <row r="14">
          <cell r="H14">
            <v>2697.1</v>
          </cell>
        </row>
        <row r="15">
          <cell r="I15">
            <v>2730</v>
          </cell>
        </row>
        <row r="16">
          <cell r="I16">
            <v>2689.6</v>
          </cell>
        </row>
        <row r="19">
          <cell r="I19">
            <v>2711.4</v>
          </cell>
        </row>
        <row r="20">
          <cell r="I20">
            <v>2741.2</v>
          </cell>
        </row>
        <row r="21">
          <cell r="I21">
            <v>1843.3</v>
          </cell>
        </row>
        <row r="23">
          <cell r="I23">
            <v>4410.6</v>
          </cell>
        </row>
        <row r="25">
          <cell r="I25">
            <v>4341.5</v>
          </cell>
        </row>
        <row r="26">
          <cell r="I26">
            <v>2698.6</v>
          </cell>
        </row>
        <row r="27">
          <cell r="I27">
            <v>4404.7</v>
          </cell>
        </row>
        <row r="28">
          <cell r="I28">
            <v>3218.2</v>
          </cell>
        </row>
        <row r="34">
          <cell r="I34">
            <v>7134.8</v>
          </cell>
        </row>
        <row r="35">
          <cell r="I35">
            <v>2760.1</v>
          </cell>
        </row>
        <row r="36">
          <cell r="I36">
            <v>2132.7</v>
          </cell>
        </row>
        <row r="37">
          <cell r="I37">
            <v>4394.4</v>
          </cell>
        </row>
        <row r="39">
          <cell r="I39">
            <v>2326.2</v>
          </cell>
        </row>
        <row r="41">
          <cell r="I41">
            <v>4099.5</v>
          </cell>
        </row>
        <row r="42">
          <cell r="I42">
            <v>3116.6</v>
          </cell>
        </row>
        <row r="43">
          <cell r="I43">
            <v>3101.6</v>
          </cell>
        </row>
        <row r="46">
          <cell r="I46">
            <v>4409.2</v>
          </cell>
        </row>
        <row r="47">
          <cell r="I47">
            <v>2688.6</v>
          </cell>
        </row>
        <row r="48">
          <cell r="I48">
            <v>1587.5</v>
          </cell>
        </row>
        <row r="51">
          <cell r="I51">
            <v>2732.4</v>
          </cell>
        </row>
        <row r="52">
          <cell r="I52">
            <v>2671.5</v>
          </cell>
        </row>
        <row r="54">
          <cell r="I54">
            <v>2708.1</v>
          </cell>
        </row>
        <row r="55">
          <cell r="I55">
            <v>2705</v>
          </cell>
        </row>
        <row r="56">
          <cell r="I56">
            <v>2706.7</v>
          </cell>
        </row>
        <row r="57">
          <cell r="I57">
            <v>4403.7</v>
          </cell>
        </row>
        <row r="58">
          <cell r="I58">
            <v>4379.5</v>
          </cell>
        </row>
        <row r="59">
          <cell r="I59">
            <v>1328.3</v>
          </cell>
        </row>
        <row r="60">
          <cell r="I60">
            <v>1325.4</v>
          </cell>
        </row>
        <row r="61">
          <cell r="I61">
            <v>1796</v>
          </cell>
        </row>
        <row r="62">
          <cell r="I62">
            <v>2691.4</v>
          </cell>
        </row>
        <row r="63">
          <cell r="I63">
            <v>2995</v>
          </cell>
        </row>
        <row r="64">
          <cell r="I64">
            <v>1263.6</v>
          </cell>
        </row>
        <row r="65">
          <cell r="I65">
            <v>1986.8</v>
          </cell>
        </row>
        <row r="67">
          <cell r="I67">
            <v>2689.4</v>
          </cell>
        </row>
        <row r="68">
          <cell r="I68">
            <v>1909.8</v>
          </cell>
        </row>
        <row r="69">
          <cell r="I69">
            <v>2677.3</v>
          </cell>
        </row>
        <row r="71">
          <cell r="I71">
            <v>2004.7</v>
          </cell>
        </row>
        <row r="73">
          <cell r="I73">
            <v>2213.5</v>
          </cell>
        </row>
        <row r="74">
          <cell r="I74">
            <v>4327.2</v>
          </cell>
        </row>
        <row r="75">
          <cell r="I75">
            <v>2719.9</v>
          </cell>
        </row>
        <row r="76">
          <cell r="I76">
            <v>3729.5</v>
          </cell>
        </row>
        <row r="80">
          <cell r="I80">
            <v>2665</v>
          </cell>
        </row>
        <row r="81">
          <cell r="I81">
            <v>3482.6</v>
          </cell>
        </row>
        <row r="84">
          <cell r="I84">
            <v>1722.5</v>
          </cell>
        </row>
        <row r="85">
          <cell r="I85">
            <v>1309.9</v>
          </cell>
        </row>
        <row r="86">
          <cell r="I86">
            <v>1329.9</v>
          </cell>
        </row>
        <row r="87">
          <cell r="I87">
            <v>1334.6</v>
          </cell>
        </row>
        <row r="88">
          <cell r="I88">
            <v>891.2</v>
          </cell>
        </row>
        <row r="90">
          <cell r="I90">
            <v>614.3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9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1">
          <cell r="I11">
            <v>2661.8</v>
          </cell>
        </row>
        <row r="12">
          <cell r="N12">
            <v>226382.83</v>
          </cell>
          <cell r="P12">
            <v>2593.58</v>
          </cell>
          <cell r="V12">
            <v>120045.89</v>
          </cell>
          <cell r="Y12">
            <v>32605.06</v>
          </cell>
          <cell r="AA12">
            <v>1482.05</v>
          </cell>
          <cell r="AB12">
            <v>1111.54</v>
          </cell>
          <cell r="AC12">
            <v>370.51</v>
          </cell>
          <cell r="AD12">
            <v>17414.06</v>
          </cell>
          <cell r="AE12">
            <v>17414.06</v>
          </cell>
          <cell r="AO12">
            <v>60393.46</v>
          </cell>
          <cell r="AS12">
            <v>35198.64</v>
          </cell>
          <cell r="AW12">
            <v>31123.01</v>
          </cell>
          <cell r="AZ12">
            <v>54094.75</v>
          </cell>
          <cell r="BA12">
            <v>53353.73</v>
          </cell>
        </row>
        <row r="13">
          <cell r="I13">
            <v>2720.4</v>
          </cell>
          <cell r="N13">
            <v>199459.73</v>
          </cell>
          <cell r="O13">
            <v>4243.82</v>
          </cell>
          <cell r="P13">
            <v>2285.14</v>
          </cell>
          <cell r="V13">
            <v>105769.15</v>
          </cell>
          <cell r="Y13">
            <v>28727.42</v>
          </cell>
          <cell r="AA13">
            <v>1305.79</v>
          </cell>
          <cell r="AC13">
            <v>326.45</v>
          </cell>
          <cell r="AD13">
            <v>15343.06</v>
          </cell>
          <cell r="AE13">
            <v>15343.06</v>
          </cell>
          <cell r="AS13">
            <v>31012.56</v>
          </cell>
          <cell r="AW13">
            <v>27421.63</v>
          </cell>
          <cell r="AZ13">
            <v>47661.41</v>
          </cell>
          <cell r="BA13">
            <v>47008.51</v>
          </cell>
        </row>
        <row r="14">
          <cell r="N14">
            <v>197751.37</v>
          </cell>
          <cell r="O14">
            <v>4207.48</v>
          </cell>
          <cell r="P14">
            <v>2265.56</v>
          </cell>
          <cell r="V14">
            <v>104863.25</v>
          </cell>
          <cell r="Y14">
            <v>28481.38</v>
          </cell>
          <cell r="AA14">
            <v>1294.61</v>
          </cell>
          <cell r="AC14">
            <v>323.65</v>
          </cell>
          <cell r="AD14">
            <v>15211.64</v>
          </cell>
          <cell r="AE14">
            <v>15211.64</v>
          </cell>
          <cell r="AJ14">
            <v>100655.77</v>
          </cell>
          <cell r="AO14">
            <v>52755.28</v>
          </cell>
          <cell r="AS14">
            <v>30746.94</v>
          </cell>
          <cell r="AW14">
            <v>27186.77</v>
          </cell>
          <cell r="AZ14">
            <v>47253.19</v>
          </cell>
          <cell r="BA14">
            <v>46605.89</v>
          </cell>
        </row>
        <row r="15">
          <cell r="N15">
            <v>200163.6</v>
          </cell>
          <cell r="O15">
            <v>4258.8</v>
          </cell>
          <cell r="P15">
            <v>2293.2</v>
          </cell>
          <cell r="V15">
            <v>106142.4</v>
          </cell>
          <cell r="Y15">
            <v>28828.8</v>
          </cell>
          <cell r="AA15">
            <v>1310.4</v>
          </cell>
          <cell r="AC15">
            <v>327.6</v>
          </cell>
          <cell r="AD15">
            <v>15397.2</v>
          </cell>
          <cell r="AE15">
            <v>15397.2</v>
          </cell>
          <cell r="AJ15">
            <v>101883.6</v>
          </cell>
          <cell r="AO15">
            <v>53398.8</v>
          </cell>
          <cell r="AS15">
            <v>31122</v>
          </cell>
          <cell r="AW15">
            <v>27518.4</v>
          </cell>
          <cell r="AZ15">
            <v>47829.6</v>
          </cell>
          <cell r="BA15">
            <v>47174.4</v>
          </cell>
        </row>
        <row r="16">
          <cell r="N16">
            <v>197201.47</v>
          </cell>
          <cell r="O16">
            <v>4195.78</v>
          </cell>
          <cell r="P16">
            <v>2259.26</v>
          </cell>
          <cell r="V16">
            <v>104571.65</v>
          </cell>
          <cell r="Y16">
            <v>28402.18</v>
          </cell>
          <cell r="AA16">
            <v>1291.01</v>
          </cell>
          <cell r="AB16">
            <v>968.26</v>
          </cell>
          <cell r="AC16">
            <v>322.75</v>
          </cell>
          <cell r="AD16">
            <v>15169.34</v>
          </cell>
          <cell r="AE16">
            <v>15169.34</v>
          </cell>
          <cell r="AJ16">
            <v>100375.87</v>
          </cell>
          <cell r="AO16">
            <v>52608.58</v>
          </cell>
          <cell r="AS16">
            <v>30661.44</v>
          </cell>
          <cell r="AW16">
            <v>27111.17</v>
          </cell>
          <cell r="AZ16">
            <v>47121.79</v>
          </cell>
          <cell r="BA16">
            <v>46476.29</v>
          </cell>
        </row>
        <row r="17">
          <cell r="I17">
            <v>2720.1</v>
          </cell>
          <cell r="N17">
            <v>199437.73</v>
          </cell>
          <cell r="O17">
            <v>4243.36</v>
          </cell>
          <cell r="P17">
            <v>2284.88</v>
          </cell>
          <cell r="V17">
            <v>105757.49</v>
          </cell>
          <cell r="Y17">
            <v>28724.26</v>
          </cell>
          <cell r="AA17">
            <v>1305.65</v>
          </cell>
          <cell r="AC17">
            <v>326.41</v>
          </cell>
          <cell r="AD17">
            <v>15341.36</v>
          </cell>
          <cell r="AE17">
            <v>15341.36</v>
          </cell>
          <cell r="AS17">
            <v>31009.14</v>
          </cell>
          <cell r="AW17">
            <v>27418.61</v>
          </cell>
          <cell r="BA17">
            <v>47003.33</v>
          </cell>
        </row>
        <row r="18">
          <cell r="I18">
            <v>5358</v>
          </cell>
          <cell r="N18">
            <v>392848.56</v>
          </cell>
          <cell r="O18">
            <v>8358.48</v>
          </cell>
          <cell r="P18">
            <v>4500.72</v>
          </cell>
          <cell r="V18">
            <v>208319.04</v>
          </cell>
          <cell r="Y18">
            <v>56580.48</v>
          </cell>
          <cell r="AA18">
            <v>2571.84</v>
          </cell>
          <cell r="AC18">
            <v>642.96</v>
          </cell>
          <cell r="AD18">
            <v>30219.12</v>
          </cell>
          <cell r="AE18">
            <v>30219.12</v>
          </cell>
          <cell r="AO18">
            <v>104802.48</v>
          </cell>
          <cell r="AS18">
            <v>61081.2</v>
          </cell>
          <cell r="AW18">
            <v>54008.64</v>
          </cell>
          <cell r="BA18">
            <v>92586.24</v>
          </cell>
        </row>
        <row r="19">
          <cell r="N19">
            <v>198799.85</v>
          </cell>
          <cell r="O19">
            <v>4229.78</v>
          </cell>
          <cell r="P19">
            <v>2277.58</v>
          </cell>
          <cell r="V19">
            <v>105419.23</v>
          </cell>
          <cell r="Y19">
            <v>28632.38</v>
          </cell>
          <cell r="AA19">
            <v>1301.47</v>
          </cell>
          <cell r="AB19">
            <v>976.1</v>
          </cell>
          <cell r="AC19">
            <v>325.37</v>
          </cell>
          <cell r="AD19">
            <v>15292.3</v>
          </cell>
          <cell r="AE19">
            <v>15292.3</v>
          </cell>
          <cell r="AJ19">
            <v>101189.45</v>
          </cell>
          <cell r="AO19">
            <v>53034.98</v>
          </cell>
          <cell r="AS19">
            <v>30909.96</v>
          </cell>
          <cell r="AW19">
            <v>27330.91</v>
          </cell>
          <cell r="AZ19">
            <v>47503.73</v>
          </cell>
          <cell r="BA19">
            <v>46852.99</v>
          </cell>
        </row>
        <row r="20">
          <cell r="N20">
            <v>200984.78</v>
          </cell>
          <cell r="O20">
            <v>4276.27</v>
          </cell>
          <cell r="P20">
            <v>2302.61</v>
          </cell>
          <cell r="V20">
            <v>106577.86</v>
          </cell>
          <cell r="Y20">
            <v>28947.07</v>
          </cell>
          <cell r="AA20">
            <v>1315.78</v>
          </cell>
          <cell r="AC20">
            <v>328.94</v>
          </cell>
          <cell r="AD20">
            <v>15460.37</v>
          </cell>
          <cell r="AE20">
            <v>15460.37</v>
          </cell>
          <cell r="AS20">
            <v>31249.68</v>
          </cell>
          <cell r="AW20">
            <v>27960.24</v>
          </cell>
          <cell r="AZ20">
            <v>48025.82</v>
          </cell>
          <cell r="BA20">
            <v>47367.94</v>
          </cell>
        </row>
        <row r="21">
          <cell r="N21">
            <v>135150.76</v>
          </cell>
          <cell r="O21">
            <v>2875.55</v>
          </cell>
          <cell r="P21">
            <v>1548.37</v>
          </cell>
          <cell r="V21">
            <v>71667.5</v>
          </cell>
          <cell r="Y21">
            <v>19465.25</v>
          </cell>
          <cell r="AA21">
            <v>884.78</v>
          </cell>
          <cell r="AB21">
            <v>663.59</v>
          </cell>
          <cell r="AC21">
            <v>221.2</v>
          </cell>
          <cell r="AD21">
            <v>10396.21</v>
          </cell>
          <cell r="AE21">
            <v>10396.21</v>
          </cell>
          <cell r="AO21">
            <v>36054.95</v>
          </cell>
          <cell r="AS21">
            <v>39594.08</v>
          </cell>
          <cell r="AW21">
            <v>18801.66</v>
          </cell>
          <cell r="AZ21">
            <v>32294.62</v>
          </cell>
          <cell r="BA21">
            <v>31852.22</v>
          </cell>
        </row>
        <row r="22">
          <cell r="N22">
            <v>197590.07</v>
          </cell>
          <cell r="O22">
            <v>4204.04</v>
          </cell>
          <cell r="P22">
            <v>2263.72</v>
          </cell>
          <cell r="V22">
            <v>104777.71</v>
          </cell>
          <cell r="Y22">
            <v>28458.14</v>
          </cell>
          <cell r="AA22">
            <v>1293.55</v>
          </cell>
          <cell r="AB22">
            <v>970.16</v>
          </cell>
          <cell r="AC22">
            <v>323.39</v>
          </cell>
          <cell r="AD22">
            <v>15199.24</v>
          </cell>
          <cell r="AE22">
            <v>15199.24</v>
          </cell>
          <cell r="AO22">
            <v>52712.24</v>
          </cell>
          <cell r="AS22">
            <v>30721.86</v>
          </cell>
          <cell r="AW22">
            <v>27164.59</v>
          </cell>
          <cell r="AZ22">
            <v>47214.65</v>
          </cell>
          <cell r="BA22">
            <v>46567.87</v>
          </cell>
        </row>
        <row r="23">
          <cell r="N23">
            <v>305919.22</v>
          </cell>
          <cell r="O23">
            <v>6880.54</v>
          </cell>
          <cell r="P23">
            <v>3704.9</v>
          </cell>
          <cell r="V23">
            <v>109030.03</v>
          </cell>
          <cell r="Y23">
            <v>46575.94</v>
          </cell>
          <cell r="AA23">
            <v>2117.09</v>
          </cell>
          <cell r="AC23">
            <v>529.27</v>
          </cell>
          <cell r="AD23">
            <v>24875.78</v>
          </cell>
          <cell r="AE23">
            <v>24875.78</v>
          </cell>
          <cell r="AO23">
            <v>86271.34</v>
          </cell>
          <cell r="AS23">
            <v>45517.39</v>
          </cell>
          <cell r="AW23">
            <v>44458.85</v>
          </cell>
          <cell r="AZ23">
            <v>77273.71</v>
          </cell>
          <cell r="BA23">
            <v>76215.17</v>
          </cell>
        </row>
        <row r="24">
          <cell r="I24">
            <v>7314.6</v>
          </cell>
        </row>
        <row r="25">
          <cell r="N25">
            <v>318318.78</v>
          </cell>
          <cell r="O25">
            <v>6772.74</v>
          </cell>
          <cell r="P25">
            <v>3646.86</v>
          </cell>
          <cell r="V25">
            <v>168797.52</v>
          </cell>
          <cell r="Y25">
            <v>45846.24</v>
          </cell>
          <cell r="AA25">
            <v>2083.92</v>
          </cell>
          <cell r="AC25">
            <v>520.98</v>
          </cell>
          <cell r="AD25">
            <v>24486.06</v>
          </cell>
          <cell r="AE25">
            <v>24486.06</v>
          </cell>
          <cell r="AO25">
            <v>84919.74</v>
          </cell>
          <cell r="AS25">
            <v>49493.1</v>
          </cell>
          <cell r="AW25">
            <v>43762.32</v>
          </cell>
          <cell r="AZ25">
            <v>76063.08</v>
          </cell>
          <cell r="BA25">
            <v>75021.12</v>
          </cell>
        </row>
        <row r="26">
          <cell r="N26">
            <v>197861.35</v>
          </cell>
          <cell r="O26">
            <v>4209.82</v>
          </cell>
          <cell r="P26">
            <v>2266.82</v>
          </cell>
          <cell r="V26">
            <v>104921.57</v>
          </cell>
          <cell r="Y26">
            <v>28497.22</v>
          </cell>
          <cell r="AA26">
            <v>1295.33</v>
          </cell>
          <cell r="AB26">
            <v>971.5</v>
          </cell>
          <cell r="AC26">
            <v>323.83</v>
          </cell>
          <cell r="AD26">
            <v>15220.1</v>
          </cell>
          <cell r="AE26">
            <v>15220.1</v>
          </cell>
          <cell r="AO26">
            <v>52784.62</v>
          </cell>
          <cell r="AS26">
            <v>30764.04</v>
          </cell>
          <cell r="AW26">
            <v>27201.89</v>
          </cell>
          <cell r="AZ26">
            <v>47279.47</v>
          </cell>
          <cell r="BA26">
            <v>46631.81</v>
          </cell>
        </row>
        <row r="27">
          <cell r="N27">
            <v>322952.6</v>
          </cell>
          <cell r="O27">
            <v>6871.33</v>
          </cell>
          <cell r="P27">
            <v>3699.95</v>
          </cell>
          <cell r="V27">
            <v>171254.74</v>
          </cell>
          <cell r="Y27">
            <v>46513.63</v>
          </cell>
          <cell r="AA27">
            <v>2114.26</v>
          </cell>
          <cell r="AB27">
            <v>1585.69</v>
          </cell>
          <cell r="AC27">
            <v>528.56</v>
          </cell>
          <cell r="AD27">
            <v>24842.51</v>
          </cell>
          <cell r="AE27">
            <v>24842.51</v>
          </cell>
          <cell r="AO27">
            <v>86155.93</v>
          </cell>
          <cell r="AS27">
            <v>50213.58</v>
          </cell>
          <cell r="AW27">
            <v>44399.38</v>
          </cell>
          <cell r="AZ27">
            <v>77170.34</v>
          </cell>
          <cell r="BA27">
            <v>76113.22</v>
          </cell>
        </row>
        <row r="28">
          <cell r="N28">
            <v>235958.42</v>
          </cell>
          <cell r="O28">
            <v>5020.39</v>
          </cell>
          <cell r="P28">
            <v>2703.29</v>
          </cell>
          <cell r="V28">
            <v>125123.62</v>
          </cell>
          <cell r="Y28">
            <v>33984.19</v>
          </cell>
          <cell r="AA28">
            <v>1544.74</v>
          </cell>
          <cell r="AB28">
            <v>1158.55</v>
          </cell>
          <cell r="AC28">
            <v>386.18</v>
          </cell>
          <cell r="AD28">
            <v>18150.65</v>
          </cell>
          <cell r="AE28">
            <v>18150.65</v>
          </cell>
          <cell r="AO28">
            <v>62947.99</v>
          </cell>
          <cell r="AS28">
            <v>69126.94</v>
          </cell>
          <cell r="AW28">
            <v>32825.64</v>
          </cell>
          <cell r="AZ28">
            <v>56382.86</v>
          </cell>
          <cell r="BA28">
            <v>55610.5</v>
          </cell>
        </row>
        <row r="29">
          <cell r="I29">
            <v>4406.8</v>
          </cell>
          <cell r="N29">
            <v>323106.58</v>
          </cell>
          <cell r="O29">
            <v>6874.61</v>
          </cell>
          <cell r="P29">
            <v>3701.71</v>
          </cell>
          <cell r="V29">
            <v>171336.38</v>
          </cell>
          <cell r="Z29">
            <v>46535.81</v>
          </cell>
          <cell r="AA29">
            <v>2115.26</v>
          </cell>
          <cell r="AB29">
            <v>1586.45</v>
          </cell>
          <cell r="AC29">
            <v>528.82</v>
          </cell>
          <cell r="AD29">
            <v>24854.35</v>
          </cell>
          <cell r="AE29">
            <v>24854.35</v>
          </cell>
          <cell r="AS29">
            <v>50237.52</v>
          </cell>
          <cell r="AW29">
            <v>44420.54</v>
          </cell>
          <cell r="AZ29">
            <v>77207.14</v>
          </cell>
          <cell r="BA29">
            <v>76149.5</v>
          </cell>
        </row>
        <row r="30">
          <cell r="I30">
            <v>2722</v>
          </cell>
          <cell r="N30">
            <v>199577.04</v>
          </cell>
          <cell r="O30">
            <v>4246.32</v>
          </cell>
          <cell r="P30">
            <v>2286.48</v>
          </cell>
          <cell r="V30">
            <v>105831.36</v>
          </cell>
          <cell r="Y30">
            <v>28744.32</v>
          </cell>
          <cell r="AA30">
            <v>1306.56</v>
          </cell>
          <cell r="AC30">
            <v>326.64</v>
          </cell>
          <cell r="AD30">
            <v>15352.08</v>
          </cell>
          <cell r="AE30">
            <v>15352.08</v>
          </cell>
          <cell r="AO30">
            <v>53242.32</v>
          </cell>
          <cell r="AS30">
            <v>31030.8</v>
          </cell>
          <cell r="AW30">
            <v>27437.76</v>
          </cell>
          <cell r="AZ30">
            <v>47689.44</v>
          </cell>
          <cell r="BA30">
            <v>47036.16</v>
          </cell>
        </row>
        <row r="31">
          <cell r="I31">
            <v>3057.8</v>
          </cell>
          <cell r="N31">
            <v>224197.9</v>
          </cell>
          <cell r="O31">
            <v>4770.17</v>
          </cell>
          <cell r="P31">
            <v>2568.55</v>
          </cell>
          <cell r="V31">
            <v>118887.26</v>
          </cell>
          <cell r="Z31">
            <v>32290.37</v>
          </cell>
          <cell r="AA31">
            <v>1467.74</v>
          </cell>
          <cell r="AC31">
            <v>366.94</v>
          </cell>
          <cell r="AD31">
            <v>17245.99</v>
          </cell>
          <cell r="AE31">
            <v>17245.99</v>
          </cell>
          <cell r="AO31">
            <v>59810.57</v>
          </cell>
          <cell r="AS31">
            <v>65681.54</v>
          </cell>
          <cell r="AW31">
            <v>31189.56</v>
          </cell>
          <cell r="AZ31">
            <v>53572.66</v>
          </cell>
          <cell r="BA31">
            <v>52838.78</v>
          </cell>
        </row>
        <row r="32">
          <cell r="I32">
            <v>5970.1</v>
          </cell>
          <cell r="N32">
            <v>298743.8</v>
          </cell>
          <cell r="O32">
            <v>9313.36</v>
          </cell>
          <cell r="P32">
            <v>5014.88</v>
          </cell>
          <cell r="V32">
            <v>232117.49</v>
          </cell>
          <cell r="Z32">
            <v>63044.26</v>
          </cell>
          <cell r="AA32">
            <v>2865.65</v>
          </cell>
          <cell r="AC32">
            <v>716.41</v>
          </cell>
          <cell r="AD32">
            <v>33671.36</v>
          </cell>
          <cell r="AE32">
            <v>33671.36</v>
          </cell>
          <cell r="AJ32">
            <v>151162.93</v>
          </cell>
          <cell r="AO32">
            <v>116775.16</v>
          </cell>
          <cell r="AS32">
            <v>128237.75</v>
          </cell>
          <cell r="AW32">
            <v>60895.02</v>
          </cell>
          <cell r="AZ32">
            <v>104596.15</v>
          </cell>
          <cell r="BA32">
            <v>103163.33</v>
          </cell>
        </row>
        <row r="33">
          <cell r="I33">
            <v>3312.2</v>
          </cell>
        </row>
        <row r="34">
          <cell r="I34">
            <v>3530.6</v>
          </cell>
        </row>
        <row r="35">
          <cell r="N35">
            <v>523123.54</v>
          </cell>
          <cell r="P35">
            <v>5993.23</v>
          </cell>
          <cell r="V35">
            <v>277401.02</v>
          </cell>
          <cell r="Y35">
            <v>75343.49</v>
          </cell>
          <cell r="AA35">
            <v>3424.7</v>
          </cell>
          <cell r="AC35">
            <v>856.18</v>
          </cell>
          <cell r="AD35">
            <v>40240.27</v>
          </cell>
          <cell r="AE35">
            <v>40240.27</v>
          </cell>
          <cell r="AO35">
            <v>139556.69</v>
          </cell>
          <cell r="AS35">
            <v>81336.72</v>
          </cell>
          <cell r="AW35">
            <v>71918.78</v>
          </cell>
          <cell r="AZ35">
            <v>125001.7</v>
          </cell>
          <cell r="BA35">
            <v>123289.34</v>
          </cell>
        </row>
        <row r="36">
          <cell r="N36">
            <v>202370.53</v>
          </cell>
          <cell r="P36">
            <v>2318.48</v>
          </cell>
          <cell r="V36">
            <v>107312.69</v>
          </cell>
          <cell r="Z36">
            <v>29146.66</v>
          </cell>
          <cell r="AA36">
            <v>1324.85</v>
          </cell>
          <cell r="AC36">
            <v>331.21</v>
          </cell>
          <cell r="AD36">
            <v>15566.96</v>
          </cell>
          <cell r="AE36">
            <v>15566.96</v>
          </cell>
          <cell r="AS36">
            <v>31465.14</v>
          </cell>
          <cell r="AW36">
            <v>27821.81</v>
          </cell>
          <cell r="BA36">
            <v>47694.53</v>
          </cell>
        </row>
        <row r="37">
          <cell r="N37">
            <v>156369.56</v>
          </cell>
          <cell r="O37">
            <v>3327.01</v>
          </cell>
          <cell r="P37">
            <v>1791.47</v>
          </cell>
          <cell r="V37">
            <v>82919.38</v>
          </cell>
          <cell r="Z37">
            <v>0</v>
          </cell>
          <cell r="AA37">
            <v>1023.7</v>
          </cell>
          <cell r="AB37">
            <v>767.77</v>
          </cell>
          <cell r="AC37">
            <v>255.92</v>
          </cell>
          <cell r="AD37">
            <v>12028.43</v>
          </cell>
          <cell r="AE37">
            <v>12028.43</v>
          </cell>
          <cell r="AJ37">
            <v>79592.36</v>
          </cell>
          <cell r="AO37">
            <v>26360.17</v>
          </cell>
          <cell r="AS37">
            <v>28919.41</v>
          </cell>
          <cell r="AW37">
            <v>21753.54</v>
          </cell>
          <cell r="AZ37">
            <v>37364.9</v>
          </cell>
          <cell r="BA37">
            <v>36853.06</v>
          </cell>
          <cell r="BC37">
            <v>61933.61</v>
          </cell>
        </row>
        <row r="38">
          <cell r="N38">
            <v>322197.41</v>
          </cell>
          <cell r="O38">
            <v>6855.26</v>
          </cell>
          <cell r="P38">
            <v>3691.3</v>
          </cell>
          <cell r="V38">
            <v>170854.27</v>
          </cell>
          <cell r="Z38">
            <v>46404.86</v>
          </cell>
          <cell r="AA38">
            <v>2109.31</v>
          </cell>
          <cell r="AC38">
            <v>527.33</v>
          </cell>
          <cell r="AD38">
            <v>24784.42</v>
          </cell>
          <cell r="AE38">
            <v>24784.42</v>
          </cell>
          <cell r="AO38">
            <v>85954.46</v>
          </cell>
          <cell r="AS38">
            <v>50096.16</v>
          </cell>
          <cell r="AW38">
            <v>44295.55</v>
          </cell>
          <cell r="AZ38">
            <v>76989.89</v>
          </cell>
          <cell r="BA38">
            <v>75935.23</v>
          </cell>
        </row>
        <row r="39">
          <cell r="I39">
            <v>2713.5</v>
          </cell>
          <cell r="N39">
            <v>198953.82</v>
          </cell>
          <cell r="O39">
            <v>4233.06</v>
          </cell>
          <cell r="P39">
            <v>2279.34</v>
          </cell>
          <cell r="V39">
            <v>105500.88</v>
          </cell>
          <cell r="Z39">
            <v>28654.56</v>
          </cell>
          <cell r="AA39">
            <v>1302.48</v>
          </cell>
          <cell r="AB39">
            <v>976.86</v>
          </cell>
          <cell r="AC39">
            <v>325.62</v>
          </cell>
          <cell r="AD39">
            <v>15304.14</v>
          </cell>
          <cell r="AE39">
            <v>15304.14</v>
          </cell>
          <cell r="AO39">
            <v>53076.06</v>
          </cell>
          <cell r="AS39">
            <v>30933.9</v>
          </cell>
          <cell r="AW39">
            <v>27352.08</v>
          </cell>
          <cell r="AZ39">
            <v>47540.52</v>
          </cell>
          <cell r="BA39">
            <v>46889.28</v>
          </cell>
        </row>
        <row r="40">
          <cell r="N40">
            <v>170556.98</v>
          </cell>
          <cell r="O40">
            <v>3628.87</v>
          </cell>
          <cell r="P40">
            <v>1954.01</v>
          </cell>
          <cell r="V40">
            <v>90442.66</v>
          </cell>
          <cell r="Z40">
            <v>0</v>
          </cell>
          <cell r="AA40">
            <v>1116.58</v>
          </cell>
          <cell r="AB40">
            <v>837.43</v>
          </cell>
          <cell r="AC40">
            <v>279.14</v>
          </cell>
          <cell r="AD40">
            <v>13119.77</v>
          </cell>
          <cell r="AE40">
            <v>13119.77</v>
          </cell>
          <cell r="AO40">
            <v>45500.47</v>
          </cell>
          <cell r="AS40">
            <v>49966.78</v>
          </cell>
          <cell r="AZ40">
            <v>40755.02</v>
          </cell>
          <cell r="BA40">
            <v>40196.74</v>
          </cell>
          <cell r="BC40">
            <v>67552.85</v>
          </cell>
        </row>
        <row r="41">
          <cell r="I41">
            <v>5414.4</v>
          </cell>
          <cell r="N41">
            <v>396983.81</v>
          </cell>
          <cell r="P41">
            <v>4548.1</v>
          </cell>
          <cell r="V41">
            <v>210511.87</v>
          </cell>
          <cell r="Z41">
            <v>57176.06</v>
          </cell>
          <cell r="AA41">
            <v>2598.91</v>
          </cell>
          <cell r="AC41">
            <v>649.73</v>
          </cell>
          <cell r="AD41">
            <v>30537.22</v>
          </cell>
          <cell r="AE41">
            <v>30537.22</v>
          </cell>
          <cell r="AO41">
            <v>105905.66</v>
          </cell>
          <cell r="AS41">
            <v>61724.16</v>
          </cell>
          <cell r="AW41">
            <v>54577.15</v>
          </cell>
          <cell r="AZ41">
            <v>94860.29</v>
          </cell>
          <cell r="BA41">
            <v>93560.83</v>
          </cell>
        </row>
        <row r="42">
          <cell r="N42">
            <v>300575.34</v>
          </cell>
          <cell r="O42">
            <v>6395.22</v>
          </cell>
          <cell r="P42">
            <v>3443.58</v>
          </cell>
          <cell r="V42">
            <v>159388.56</v>
          </cell>
          <cell r="Z42">
            <v>43290.72</v>
          </cell>
          <cell r="AA42">
            <v>1967.76</v>
          </cell>
          <cell r="AB42">
            <v>1475.82</v>
          </cell>
          <cell r="AC42">
            <v>491.94</v>
          </cell>
          <cell r="AD42">
            <v>23121.18</v>
          </cell>
          <cell r="AE42">
            <v>23121.18</v>
          </cell>
          <cell r="AO42">
            <v>80186.22</v>
          </cell>
          <cell r="AS42">
            <v>46734.3</v>
          </cell>
          <cell r="AW42">
            <v>41322.96</v>
          </cell>
          <cell r="AZ42">
            <v>71823.24</v>
          </cell>
          <cell r="BA42">
            <v>70839.36</v>
          </cell>
        </row>
        <row r="43">
          <cell r="N43">
            <v>228509.11</v>
          </cell>
          <cell r="O43">
            <v>4861.9</v>
          </cell>
          <cell r="P43">
            <v>2617.94</v>
          </cell>
          <cell r="V43">
            <v>121173.41</v>
          </cell>
          <cell r="Z43">
            <v>32911.3</v>
          </cell>
          <cell r="AA43">
            <v>1495.97</v>
          </cell>
          <cell r="AC43">
            <v>373.99</v>
          </cell>
          <cell r="AD43">
            <v>17577.62</v>
          </cell>
          <cell r="AE43">
            <v>17577.62</v>
          </cell>
          <cell r="AO43">
            <v>60960.7</v>
          </cell>
          <cell r="AS43">
            <v>35529.24</v>
          </cell>
          <cell r="AW43">
            <v>31415.33</v>
          </cell>
          <cell r="AZ43">
            <v>54602.83</v>
          </cell>
          <cell r="BA43">
            <v>53854.85</v>
          </cell>
        </row>
        <row r="44">
          <cell r="N44">
            <v>227409.31</v>
          </cell>
          <cell r="O44">
            <v>4838.5</v>
          </cell>
          <cell r="P44">
            <v>2605.34</v>
          </cell>
          <cell r="V44">
            <v>120590.21</v>
          </cell>
          <cell r="Z44">
            <v>32752.9</v>
          </cell>
          <cell r="AA44">
            <v>1488.77</v>
          </cell>
          <cell r="AC44">
            <v>372.19</v>
          </cell>
          <cell r="AD44">
            <v>17493.02</v>
          </cell>
          <cell r="AE44">
            <v>17493.02</v>
          </cell>
          <cell r="AO44">
            <v>60667.3</v>
          </cell>
          <cell r="AS44">
            <v>35358.24</v>
          </cell>
          <cell r="AW44">
            <v>31264.13</v>
          </cell>
          <cell r="AZ44">
            <v>54340.03</v>
          </cell>
          <cell r="BA44">
            <v>53595.65</v>
          </cell>
        </row>
        <row r="46">
          <cell r="I46">
            <v>2246</v>
          </cell>
          <cell r="N46">
            <v>164676.72</v>
          </cell>
          <cell r="O46">
            <v>3503.76</v>
          </cell>
          <cell r="P46">
            <v>1886.64</v>
          </cell>
          <cell r="V46">
            <v>87324.48</v>
          </cell>
          <cell r="Z46">
            <v>23717.76</v>
          </cell>
          <cell r="AA46">
            <v>1078.08</v>
          </cell>
          <cell r="AB46">
            <v>808.56</v>
          </cell>
          <cell r="AC46">
            <v>269.52</v>
          </cell>
          <cell r="AD46">
            <v>12667.44</v>
          </cell>
          <cell r="AE46">
            <v>12667.44</v>
          </cell>
          <cell r="AJ46">
            <v>83820.72</v>
          </cell>
          <cell r="AO46">
            <v>43931.76</v>
          </cell>
          <cell r="AS46">
            <v>25604.4</v>
          </cell>
          <cell r="AW46">
            <v>22639.68</v>
          </cell>
          <cell r="BA46">
            <v>38810.88</v>
          </cell>
        </row>
        <row r="47">
          <cell r="N47">
            <v>323282.54</v>
          </cell>
          <cell r="O47">
            <v>6878.35</v>
          </cell>
          <cell r="P47">
            <v>3703.73</v>
          </cell>
          <cell r="V47">
            <v>171429.7</v>
          </cell>
          <cell r="Z47">
            <v>46561.15</v>
          </cell>
          <cell r="AA47">
            <v>2116.42</v>
          </cell>
          <cell r="AC47">
            <v>529.1</v>
          </cell>
          <cell r="AD47">
            <v>24867.89</v>
          </cell>
          <cell r="AE47">
            <v>24867.89</v>
          </cell>
          <cell r="AO47">
            <v>86243.95</v>
          </cell>
          <cell r="AS47">
            <v>50264.88</v>
          </cell>
          <cell r="AW47">
            <v>44444.74</v>
          </cell>
          <cell r="AZ47">
            <v>77249.18</v>
          </cell>
          <cell r="BA47">
            <v>76190.98</v>
          </cell>
        </row>
        <row r="48">
          <cell r="N48">
            <v>197128.15</v>
          </cell>
          <cell r="O48">
            <v>4194.22</v>
          </cell>
          <cell r="P48">
            <v>2258.42</v>
          </cell>
          <cell r="V48">
            <v>104532.77</v>
          </cell>
          <cell r="Z48">
            <v>28391.62</v>
          </cell>
          <cell r="AA48">
            <v>1290.53</v>
          </cell>
          <cell r="AC48">
            <v>322.63</v>
          </cell>
          <cell r="AD48">
            <v>15163.7</v>
          </cell>
          <cell r="AE48">
            <v>15163.7</v>
          </cell>
          <cell r="AO48">
            <v>52589.02</v>
          </cell>
          <cell r="AS48">
            <v>30650.04</v>
          </cell>
          <cell r="AW48">
            <v>27101.09</v>
          </cell>
          <cell r="AZ48">
            <v>47104.27</v>
          </cell>
          <cell r="BA48">
            <v>46459.01</v>
          </cell>
        </row>
        <row r="49">
          <cell r="N49">
            <v>116395.5</v>
          </cell>
          <cell r="P49">
            <v>1333.5</v>
          </cell>
          <cell r="V49">
            <v>61722</v>
          </cell>
          <cell r="Z49">
            <v>16764</v>
          </cell>
          <cell r="AA49">
            <v>762</v>
          </cell>
          <cell r="AB49">
            <v>571.5</v>
          </cell>
          <cell r="AC49">
            <v>190.5</v>
          </cell>
          <cell r="AS49">
            <v>34099.5</v>
          </cell>
          <cell r="AW49">
            <v>16192.5</v>
          </cell>
          <cell r="AZ49">
            <v>27813</v>
          </cell>
          <cell r="BA49">
            <v>27432</v>
          </cell>
        </row>
        <row r="50">
          <cell r="I50">
            <v>2810.3</v>
          </cell>
          <cell r="N50">
            <v>206051.2</v>
          </cell>
          <cell r="P50">
            <v>2360.65</v>
          </cell>
          <cell r="V50">
            <v>192561.76</v>
          </cell>
          <cell r="Z50">
            <v>29676.77</v>
          </cell>
          <cell r="AA50">
            <v>1348.94</v>
          </cell>
          <cell r="AB50">
            <v>1011.71</v>
          </cell>
          <cell r="AC50">
            <v>337.24</v>
          </cell>
          <cell r="AD50">
            <v>15850.09</v>
          </cell>
          <cell r="AE50">
            <v>15850.09</v>
          </cell>
          <cell r="AO50">
            <v>54969.47</v>
          </cell>
          <cell r="AS50">
            <v>60365.24</v>
          </cell>
          <cell r="AW50">
            <v>28665.06</v>
          </cell>
          <cell r="AZ50">
            <v>49236.46</v>
          </cell>
          <cell r="BA50">
            <v>48561.98</v>
          </cell>
        </row>
        <row r="51">
          <cell r="I51">
            <v>1979.4</v>
          </cell>
          <cell r="N51">
            <v>145129.61</v>
          </cell>
          <cell r="O51">
            <v>3087.86</v>
          </cell>
          <cell r="P51">
            <v>1662.7</v>
          </cell>
          <cell r="V51">
            <v>76959.07</v>
          </cell>
          <cell r="Z51">
            <v>20902.46</v>
          </cell>
          <cell r="AA51">
            <v>950.11</v>
          </cell>
          <cell r="AB51">
            <v>712.58</v>
          </cell>
          <cell r="AC51">
            <v>237.53</v>
          </cell>
          <cell r="AD51">
            <v>11163.82</v>
          </cell>
          <cell r="AE51">
            <v>11163.82</v>
          </cell>
          <cell r="AO51">
            <v>38717.06</v>
          </cell>
          <cell r="AS51">
            <v>42517.51</v>
          </cell>
          <cell r="AW51">
            <v>20189.88</v>
          </cell>
          <cell r="AZ51">
            <v>34679.09</v>
          </cell>
          <cell r="BA51">
            <v>34204.03</v>
          </cell>
        </row>
        <row r="52">
          <cell r="N52">
            <v>200339.57</v>
          </cell>
          <cell r="O52">
            <v>4262.54</v>
          </cell>
          <cell r="P52">
            <v>2295.22</v>
          </cell>
          <cell r="V52">
            <v>106235.71</v>
          </cell>
          <cell r="Z52">
            <v>28854.14</v>
          </cell>
          <cell r="AA52">
            <v>1311.55</v>
          </cell>
          <cell r="AC52">
            <v>327.89</v>
          </cell>
          <cell r="AD52">
            <v>15410.74</v>
          </cell>
          <cell r="AE52">
            <v>15410.74</v>
          </cell>
          <cell r="AJ52">
            <v>101973.17</v>
          </cell>
          <cell r="AO52">
            <v>53445.74</v>
          </cell>
          <cell r="AS52">
            <v>31149.36</v>
          </cell>
          <cell r="AW52">
            <v>27542.59</v>
          </cell>
          <cell r="AZ52">
            <v>47871.65</v>
          </cell>
          <cell r="BA52">
            <v>47215.87</v>
          </cell>
        </row>
        <row r="53">
          <cell r="N53">
            <v>195874.38</v>
          </cell>
          <cell r="O53">
            <v>4167.54</v>
          </cell>
          <cell r="P53">
            <v>2244.06</v>
          </cell>
          <cell r="V53">
            <v>103867.92</v>
          </cell>
          <cell r="Z53">
            <v>28211.04</v>
          </cell>
          <cell r="AA53">
            <v>1282.32</v>
          </cell>
          <cell r="AB53">
            <v>961.74</v>
          </cell>
          <cell r="AC53">
            <v>320.58</v>
          </cell>
          <cell r="AD53">
            <v>15067.26</v>
          </cell>
          <cell r="AE53">
            <v>15067.26</v>
          </cell>
          <cell r="AO53">
            <v>52254.54</v>
          </cell>
          <cell r="AS53">
            <v>30455.1</v>
          </cell>
          <cell r="AW53">
            <v>26928.72</v>
          </cell>
          <cell r="AZ53">
            <v>46804.68</v>
          </cell>
          <cell r="BA53">
            <v>46163.52</v>
          </cell>
        </row>
        <row r="54">
          <cell r="I54">
            <v>5117.2</v>
          </cell>
          <cell r="N54">
            <v>375193.1</v>
          </cell>
          <cell r="P54">
            <v>4298.45</v>
          </cell>
          <cell r="Z54">
            <v>54037.63</v>
          </cell>
          <cell r="AA54">
            <v>2456.26</v>
          </cell>
          <cell r="AB54">
            <v>1842.19</v>
          </cell>
          <cell r="AC54">
            <v>614.06</v>
          </cell>
          <cell r="AD54">
            <v>28861.01</v>
          </cell>
          <cell r="AE54">
            <v>28861.01</v>
          </cell>
          <cell r="AS54">
            <v>109917.46</v>
          </cell>
          <cell r="AW54">
            <v>52195.44</v>
          </cell>
          <cell r="AZ54">
            <v>89653.34</v>
          </cell>
          <cell r="BA54">
            <v>88425.22</v>
          </cell>
        </row>
        <row r="55">
          <cell r="N55">
            <v>198557.89</v>
          </cell>
          <cell r="O55">
            <v>4224.64</v>
          </cell>
          <cell r="P55">
            <v>2274.8</v>
          </cell>
          <cell r="V55">
            <v>105290.93</v>
          </cell>
          <cell r="Y55">
            <v>28597.54</v>
          </cell>
          <cell r="AA55">
            <v>1299.89</v>
          </cell>
          <cell r="AC55">
            <v>324.97</v>
          </cell>
          <cell r="AD55">
            <v>15273.68</v>
          </cell>
          <cell r="AE55">
            <v>15273.68</v>
          </cell>
          <cell r="AJ55">
            <v>101066.29</v>
          </cell>
          <cell r="AO55">
            <v>52970.44</v>
          </cell>
          <cell r="AS55">
            <v>30872.34</v>
          </cell>
          <cell r="AW55">
            <v>27297.65</v>
          </cell>
          <cell r="AZ55">
            <v>47445.91</v>
          </cell>
          <cell r="BA55">
            <v>46795.97</v>
          </cell>
        </row>
        <row r="56">
          <cell r="N56">
            <v>198330.6</v>
          </cell>
          <cell r="O56">
            <v>4219.8</v>
          </cell>
          <cell r="P56">
            <v>2272.2</v>
          </cell>
          <cell r="V56">
            <v>105170.4</v>
          </cell>
          <cell r="Y56">
            <v>28564.8</v>
          </cell>
          <cell r="AA56">
            <v>1298.4</v>
          </cell>
          <cell r="AB56">
            <v>973.8</v>
          </cell>
          <cell r="AC56">
            <v>324.6</v>
          </cell>
          <cell r="AD56">
            <v>15256.2</v>
          </cell>
          <cell r="AE56">
            <v>15256.2</v>
          </cell>
          <cell r="AJ56">
            <v>100950.6</v>
          </cell>
          <cell r="AO56">
            <v>52909.8</v>
          </cell>
          <cell r="AS56">
            <v>30837</v>
          </cell>
          <cell r="AW56">
            <v>27266.4</v>
          </cell>
          <cell r="AZ56">
            <v>47391.6</v>
          </cell>
          <cell r="BA56">
            <v>46742.4</v>
          </cell>
        </row>
        <row r="57">
          <cell r="N57">
            <v>198455.24</v>
          </cell>
          <cell r="O57">
            <v>4222.45</v>
          </cell>
          <cell r="P57">
            <v>2273.63</v>
          </cell>
          <cell r="V57">
            <v>105236.5</v>
          </cell>
          <cell r="Y57">
            <v>28582.75</v>
          </cell>
          <cell r="AA57">
            <v>1299.22</v>
          </cell>
          <cell r="AC57">
            <v>324.8</v>
          </cell>
          <cell r="AD57">
            <v>15265.79</v>
          </cell>
          <cell r="AE57">
            <v>15265.79</v>
          </cell>
          <cell r="AO57">
            <v>52943.05</v>
          </cell>
          <cell r="AS57">
            <v>30856.38</v>
          </cell>
          <cell r="AW57">
            <v>27283.54</v>
          </cell>
          <cell r="AZ57">
            <v>47421.38</v>
          </cell>
          <cell r="BA57">
            <v>46771.78</v>
          </cell>
        </row>
        <row r="58">
          <cell r="N58">
            <v>322879.28</v>
          </cell>
          <cell r="O58">
            <v>6869.77</v>
          </cell>
          <cell r="P58">
            <v>3699.11</v>
          </cell>
          <cell r="V58">
            <v>171215.86</v>
          </cell>
          <cell r="Y58">
            <v>46503.07</v>
          </cell>
          <cell r="AA58">
            <v>2113.78</v>
          </cell>
          <cell r="AC58">
            <v>528.44</v>
          </cell>
          <cell r="AD58">
            <v>24836.87</v>
          </cell>
          <cell r="AE58">
            <v>24836.87</v>
          </cell>
          <cell r="AS58">
            <v>50202.18</v>
          </cell>
          <cell r="AW58">
            <v>44389.3</v>
          </cell>
          <cell r="AZ58">
            <v>77152.82</v>
          </cell>
          <cell r="BA58">
            <v>76095.94</v>
          </cell>
        </row>
        <row r="59">
          <cell r="N59">
            <v>321104.94</v>
          </cell>
          <cell r="O59">
            <v>6832.02</v>
          </cell>
          <cell r="P59">
            <v>3678.78</v>
          </cell>
          <cell r="V59">
            <v>170274.96</v>
          </cell>
          <cell r="Z59">
            <v>46247.52</v>
          </cell>
          <cell r="AA59">
            <v>2102.16</v>
          </cell>
          <cell r="AB59">
            <v>1576.62</v>
          </cell>
          <cell r="AC59">
            <v>525.54</v>
          </cell>
          <cell r="AD59">
            <v>24700.38</v>
          </cell>
          <cell r="AE59">
            <v>24700.38</v>
          </cell>
          <cell r="AO59">
            <v>85663.02</v>
          </cell>
          <cell r="AS59">
            <v>94071.66</v>
          </cell>
          <cell r="AW59">
            <v>44670.9</v>
          </cell>
          <cell r="AZ59">
            <v>76728.84</v>
          </cell>
          <cell r="BA59">
            <v>75677.76</v>
          </cell>
        </row>
        <row r="60">
          <cell r="N60">
            <v>97390.96</v>
          </cell>
          <cell r="P60">
            <v>1115.77</v>
          </cell>
          <cell r="V60">
            <v>51644.3</v>
          </cell>
          <cell r="Z60">
            <v>14026.85</v>
          </cell>
          <cell r="AA60">
            <v>637.58</v>
          </cell>
          <cell r="AB60">
            <v>478.19</v>
          </cell>
          <cell r="AC60">
            <v>159.4</v>
          </cell>
          <cell r="AD60">
            <v>7491.61</v>
          </cell>
          <cell r="AE60">
            <v>7491.61</v>
          </cell>
          <cell r="AO60">
            <v>25981.55</v>
          </cell>
          <cell r="AS60">
            <v>15142.62</v>
          </cell>
          <cell r="AW60">
            <v>13389.26</v>
          </cell>
          <cell r="AZ60">
            <v>23271.82</v>
          </cell>
          <cell r="BA60">
            <v>22953.02</v>
          </cell>
        </row>
        <row r="61">
          <cell r="N61">
            <v>97178.33</v>
          </cell>
          <cell r="P61">
            <v>1113.34</v>
          </cell>
          <cell r="V61">
            <v>51531.55</v>
          </cell>
          <cell r="Z61">
            <v>13996.22</v>
          </cell>
          <cell r="AA61">
            <v>636.19</v>
          </cell>
          <cell r="AC61">
            <v>159.05</v>
          </cell>
          <cell r="AD61">
            <v>7475.26</v>
          </cell>
          <cell r="AE61">
            <v>7475.26</v>
          </cell>
          <cell r="AS61">
            <v>15109.56</v>
          </cell>
          <cell r="BA61">
            <v>22902.91</v>
          </cell>
        </row>
        <row r="62">
          <cell r="N62">
            <v>131682.72</v>
          </cell>
          <cell r="O62">
            <v>2801.76</v>
          </cell>
          <cell r="P62">
            <v>1508.64</v>
          </cell>
          <cell r="V62">
            <v>69828.48</v>
          </cell>
          <cell r="Z62">
            <v>18965.76</v>
          </cell>
          <cell r="AA62">
            <v>862.08</v>
          </cell>
          <cell r="AB62">
            <v>646.56</v>
          </cell>
          <cell r="AC62">
            <v>215.52</v>
          </cell>
          <cell r="AD62">
            <v>10129.44</v>
          </cell>
          <cell r="AE62">
            <v>10129.44</v>
          </cell>
          <cell r="AO62">
            <v>35129.76</v>
          </cell>
          <cell r="AS62">
            <v>38578.08</v>
          </cell>
          <cell r="AW62">
            <v>18319.2</v>
          </cell>
          <cell r="AZ62">
            <v>31465.92</v>
          </cell>
          <cell r="BA62">
            <v>31034.88</v>
          </cell>
        </row>
        <row r="63">
          <cell r="N63">
            <v>197333.45</v>
          </cell>
          <cell r="O63">
            <v>4198.58</v>
          </cell>
          <cell r="P63">
            <v>2260.78</v>
          </cell>
          <cell r="V63">
            <v>104641.63</v>
          </cell>
          <cell r="Z63">
            <v>28421.18</v>
          </cell>
          <cell r="AA63">
            <v>1291.87</v>
          </cell>
          <cell r="AC63">
            <v>322.97</v>
          </cell>
          <cell r="AD63">
            <v>15179.5</v>
          </cell>
          <cell r="AE63">
            <v>15179.5</v>
          </cell>
          <cell r="AO63">
            <v>52643.78</v>
          </cell>
          <cell r="AS63">
            <v>30681.96</v>
          </cell>
          <cell r="AW63">
            <v>27129.31</v>
          </cell>
          <cell r="AZ63">
            <v>47153.33</v>
          </cell>
          <cell r="BA63">
            <v>46507.39</v>
          </cell>
        </row>
        <row r="64">
          <cell r="N64">
            <v>219593.4</v>
          </cell>
          <cell r="P64">
            <v>2515.8</v>
          </cell>
          <cell r="V64">
            <v>116445.6</v>
          </cell>
          <cell r="Z64">
            <v>31627.2</v>
          </cell>
          <cell r="AA64">
            <v>1437.6</v>
          </cell>
          <cell r="AB64">
            <v>1078.2</v>
          </cell>
          <cell r="AC64">
            <v>359.4</v>
          </cell>
          <cell r="AD64">
            <v>16891.8</v>
          </cell>
          <cell r="AE64">
            <v>16891.8</v>
          </cell>
          <cell r="AW64">
            <v>30549</v>
          </cell>
          <cell r="BA64">
            <v>51753.6</v>
          </cell>
        </row>
        <row r="65">
          <cell r="N65">
            <v>92647.15</v>
          </cell>
          <cell r="P65">
            <v>1061.42</v>
          </cell>
          <cell r="V65">
            <v>49128.77</v>
          </cell>
          <cell r="Z65">
            <v>13343.62</v>
          </cell>
          <cell r="AA65">
            <v>606.53</v>
          </cell>
          <cell r="AB65">
            <v>454.9</v>
          </cell>
          <cell r="AC65">
            <v>151.63</v>
          </cell>
          <cell r="AD65">
            <v>7126.7</v>
          </cell>
          <cell r="AE65">
            <v>7126.7</v>
          </cell>
          <cell r="AO65">
            <v>24716.02</v>
          </cell>
          <cell r="AS65">
            <v>14405.04</v>
          </cell>
          <cell r="AW65">
            <v>12737.09</v>
          </cell>
          <cell r="AZ65">
            <v>22138.27</v>
          </cell>
          <cell r="BA65">
            <v>21835.01</v>
          </cell>
        </row>
        <row r="66">
          <cell r="N66">
            <v>145672.18</v>
          </cell>
          <cell r="O66">
            <v>3099.41</v>
          </cell>
          <cell r="P66">
            <v>1668.91</v>
          </cell>
          <cell r="V66">
            <v>77246.78</v>
          </cell>
          <cell r="Z66">
            <v>20980.61</v>
          </cell>
          <cell r="AA66">
            <v>953.66</v>
          </cell>
          <cell r="AC66">
            <v>238.42</v>
          </cell>
          <cell r="AD66">
            <v>11205.55</v>
          </cell>
          <cell r="AE66">
            <v>11205.55</v>
          </cell>
          <cell r="AS66">
            <v>22649.52</v>
          </cell>
          <cell r="AW66">
            <v>20026.94</v>
          </cell>
          <cell r="AZ66">
            <v>34808.74</v>
          </cell>
          <cell r="BA66">
            <v>34331.9</v>
          </cell>
        </row>
        <row r="67">
          <cell r="I67">
            <v>1587.7</v>
          </cell>
          <cell r="N67">
            <v>116410.16</v>
          </cell>
          <cell r="P67">
            <v>1333.67</v>
          </cell>
          <cell r="V67">
            <v>61729.78</v>
          </cell>
          <cell r="Z67">
            <v>16766.11</v>
          </cell>
          <cell r="AA67">
            <v>762.1</v>
          </cell>
          <cell r="AB67">
            <v>571.57</v>
          </cell>
          <cell r="AC67">
            <v>190.52</v>
          </cell>
          <cell r="AD67">
            <v>8954.63</v>
          </cell>
          <cell r="AE67">
            <v>8954.63</v>
          </cell>
          <cell r="AO67">
            <v>31055.41</v>
          </cell>
          <cell r="AS67">
            <v>18099.78</v>
          </cell>
          <cell r="AW67">
            <v>16004.02</v>
          </cell>
          <cell r="AZ67">
            <v>27816.5</v>
          </cell>
          <cell r="BA67">
            <v>27435.46</v>
          </cell>
        </row>
        <row r="68">
          <cell r="N68">
            <v>197186.81</v>
          </cell>
          <cell r="O68">
            <v>4195.46</v>
          </cell>
          <cell r="P68">
            <v>2259.1</v>
          </cell>
          <cell r="V68">
            <v>104563.87</v>
          </cell>
          <cell r="Z68">
            <v>28400.06</v>
          </cell>
          <cell r="AA68">
            <v>1290.91</v>
          </cell>
          <cell r="AB68">
            <v>968.18</v>
          </cell>
          <cell r="AC68">
            <v>322.73</v>
          </cell>
          <cell r="AD68">
            <v>15168.22</v>
          </cell>
          <cell r="AE68">
            <v>15168.22</v>
          </cell>
          <cell r="AO68">
            <v>52604.66</v>
          </cell>
          <cell r="AS68">
            <v>57768.31</v>
          </cell>
          <cell r="AW68">
            <v>27431.88</v>
          </cell>
          <cell r="AZ68">
            <v>47118.29</v>
          </cell>
          <cell r="BA68">
            <v>46472.83</v>
          </cell>
        </row>
        <row r="69">
          <cell r="N69">
            <v>140026.54</v>
          </cell>
          <cell r="O69">
            <v>2979.29</v>
          </cell>
          <cell r="P69">
            <v>1604.23</v>
          </cell>
          <cell r="V69">
            <v>74253.02</v>
          </cell>
          <cell r="Z69">
            <v>0</v>
          </cell>
          <cell r="AA69">
            <v>916.7</v>
          </cell>
          <cell r="AC69">
            <v>229.18</v>
          </cell>
          <cell r="AD69">
            <v>10771.27</v>
          </cell>
          <cell r="AE69">
            <v>10771.27</v>
          </cell>
          <cell r="AJ69">
            <v>71273.74</v>
          </cell>
          <cell r="AO69">
            <v>37355.69</v>
          </cell>
          <cell r="AS69">
            <v>41022.5</v>
          </cell>
          <cell r="AW69">
            <v>19479.96</v>
          </cell>
          <cell r="AZ69">
            <v>33459.7</v>
          </cell>
          <cell r="BA69">
            <v>33001.34</v>
          </cell>
          <cell r="BC69">
            <v>55460.59</v>
          </cell>
        </row>
        <row r="70">
          <cell r="N70">
            <v>196299.64</v>
          </cell>
          <cell r="O70">
            <v>4176.59</v>
          </cell>
          <cell r="P70">
            <v>2248.93</v>
          </cell>
          <cell r="V70">
            <v>104093.42</v>
          </cell>
          <cell r="Z70">
            <v>28272.29</v>
          </cell>
          <cell r="AA70">
            <v>1285.1</v>
          </cell>
          <cell r="AB70">
            <v>963.83</v>
          </cell>
          <cell r="AC70">
            <v>321.28</v>
          </cell>
          <cell r="AD70">
            <v>15099.97</v>
          </cell>
          <cell r="AE70">
            <v>15099.97</v>
          </cell>
          <cell r="AJ70">
            <v>99916.84</v>
          </cell>
          <cell r="AO70">
            <v>52367.99</v>
          </cell>
          <cell r="AS70">
            <v>57508.4</v>
          </cell>
          <cell r="AW70">
            <v>27308.46</v>
          </cell>
          <cell r="AZ70">
            <v>46906.3</v>
          </cell>
          <cell r="BA70">
            <v>46263.74</v>
          </cell>
        </row>
        <row r="71">
          <cell r="I71">
            <v>2687.5</v>
          </cell>
          <cell r="N71">
            <v>197047.5</v>
          </cell>
          <cell r="O71">
            <v>4192.5</v>
          </cell>
          <cell r="P71">
            <v>2257.5</v>
          </cell>
          <cell r="V71">
            <v>104490</v>
          </cell>
          <cell r="Z71">
            <v>28380</v>
          </cell>
          <cell r="AA71">
            <v>1290</v>
          </cell>
          <cell r="AB71">
            <v>967.5</v>
          </cell>
          <cell r="AC71">
            <v>322.5</v>
          </cell>
          <cell r="AD71">
            <v>15157.5</v>
          </cell>
          <cell r="AE71">
            <v>15157.5</v>
          </cell>
          <cell r="AJ71">
            <v>100297.5</v>
          </cell>
          <cell r="AO71">
            <v>52567.5</v>
          </cell>
          <cell r="AS71">
            <v>57727.5</v>
          </cell>
          <cell r="AW71">
            <v>27412.5</v>
          </cell>
          <cell r="AZ71">
            <v>47085</v>
          </cell>
          <cell r="BA71">
            <v>46440</v>
          </cell>
        </row>
        <row r="72">
          <cell r="N72">
            <v>146984.6</v>
          </cell>
          <cell r="O72">
            <v>3127.33</v>
          </cell>
          <cell r="P72">
            <v>1683.95</v>
          </cell>
          <cell r="V72">
            <v>77942.74</v>
          </cell>
          <cell r="Z72">
            <v>21169.63</v>
          </cell>
          <cell r="AA72">
            <v>962.26</v>
          </cell>
          <cell r="AB72">
            <v>721.69</v>
          </cell>
          <cell r="AC72">
            <v>240.56</v>
          </cell>
          <cell r="AD72">
            <v>11306.51</v>
          </cell>
          <cell r="AE72">
            <v>11306.51</v>
          </cell>
          <cell r="AO72">
            <v>39211.93</v>
          </cell>
          <cell r="AS72">
            <v>22853.58</v>
          </cell>
          <cell r="AW72">
            <v>20207.38</v>
          </cell>
          <cell r="AZ72">
            <v>35122.34</v>
          </cell>
          <cell r="BA72">
            <v>34641.22</v>
          </cell>
        </row>
        <row r="73">
          <cell r="I73">
            <v>5334.9</v>
          </cell>
          <cell r="N73">
            <v>391154.87</v>
          </cell>
          <cell r="O73">
            <v>8322.44</v>
          </cell>
          <cell r="P73">
            <v>4481.32</v>
          </cell>
          <cell r="V73">
            <v>207420.91</v>
          </cell>
          <cell r="Z73">
            <v>56336.54</v>
          </cell>
          <cell r="AA73">
            <v>2560.75</v>
          </cell>
          <cell r="AC73">
            <v>640.19</v>
          </cell>
          <cell r="AD73">
            <v>30088.84</v>
          </cell>
          <cell r="AE73">
            <v>30088.84</v>
          </cell>
          <cell r="AO73">
            <v>104350.64</v>
          </cell>
          <cell r="AS73">
            <v>60817.86</v>
          </cell>
          <cell r="AW73">
            <v>53775.79</v>
          </cell>
          <cell r="AZ73">
            <v>93467.45</v>
          </cell>
          <cell r="BA73">
            <v>92187.07</v>
          </cell>
        </row>
        <row r="74">
          <cell r="N74">
            <v>162550.44</v>
          </cell>
          <cell r="O74">
            <v>3458.52</v>
          </cell>
          <cell r="P74">
            <v>1862.28</v>
          </cell>
          <cell r="V74">
            <v>86196.96</v>
          </cell>
          <cell r="Z74">
            <v>23411.52</v>
          </cell>
          <cell r="AA74">
            <v>1064.16</v>
          </cell>
          <cell r="AB74">
            <v>798.12</v>
          </cell>
          <cell r="AC74">
            <v>266.04</v>
          </cell>
          <cell r="AD74">
            <v>12503.88</v>
          </cell>
          <cell r="AE74">
            <v>12503.88</v>
          </cell>
          <cell r="AJ74">
            <v>82738.44</v>
          </cell>
          <cell r="AO74">
            <v>43364.52</v>
          </cell>
          <cell r="AS74">
            <v>25273.8</v>
          </cell>
          <cell r="AW74">
            <v>22347.36</v>
          </cell>
          <cell r="AZ74">
            <v>38841.84</v>
          </cell>
          <cell r="BA74">
            <v>38309.76</v>
          </cell>
        </row>
        <row r="75">
          <cell r="N75">
            <v>317270.3</v>
          </cell>
          <cell r="O75">
            <v>6750.43</v>
          </cell>
          <cell r="P75">
            <v>3634.85</v>
          </cell>
          <cell r="V75">
            <v>168241.54</v>
          </cell>
          <cell r="Y75">
            <v>45695.23</v>
          </cell>
          <cell r="AA75">
            <v>2077.06</v>
          </cell>
          <cell r="AB75">
            <v>1557.79</v>
          </cell>
          <cell r="AC75">
            <v>519.26</v>
          </cell>
          <cell r="AD75">
            <v>24405.41</v>
          </cell>
          <cell r="AE75">
            <v>24405.41</v>
          </cell>
          <cell r="AO75">
            <v>84640.03</v>
          </cell>
          <cell r="AS75">
            <v>49330.08</v>
          </cell>
          <cell r="AW75">
            <v>43618.18</v>
          </cell>
          <cell r="AZ75">
            <v>75812.54</v>
          </cell>
          <cell r="BA75">
            <v>74774.02</v>
          </cell>
        </row>
        <row r="76">
          <cell r="N76">
            <v>199423.07</v>
          </cell>
          <cell r="O76">
            <v>4243.04</v>
          </cell>
          <cell r="P76">
            <v>2284.72</v>
          </cell>
          <cell r="V76">
            <v>105749.71</v>
          </cell>
          <cell r="Z76">
            <v>28722.14</v>
          </cell>
          <cell r="AA76">
            <v>1305.55</v>
          </cell>
          <cell r="AC76">
            <v>326.39</v>
          </cell>
          <cell r="AD76">
            <v>15340.24</v>
          </cell>
          <cell r="AE76">
            <v>15340.24</v>
          </cell>
          <cell r="AO76">
            <v>53201.24</v>
          </cell>
          <cell r="AS76">
            <v>58423.45</v>
          </cell>
          <cell r="AW76">
            <v>27742.98</v>
          </cell>
          <cell r="AZ76">
            <v>47652.65</v>
          </cell>
          <cell r="BA76">
            <v>46999.87</v>
          </cell>
        </row>
        <row r="77">
          <cell r="N77">
            <v>186624.18</v>
          </cell>
          <cell r="O77">
            <v>5818.02</v>
          </cell>
          <cell r="P77">
            <v>3132.78</v>
          </cell>
          <cell r="V77">
            <v>145002.96</v>
          </cell>
          <cell r="Z77">
            <v>39383.52</v>
          </cell>
          <cell r="AA77">
            <v>1790.16</v>
          </cell>
          <cell r="AB77">
            <v>1342.62</v>
          </cell>
          <cell r="AC77">
            <v>447.54</v>
          </cell>
          <cell r="AD77">
            <v>21034.38</v>
          </cell>
          <cell r="AE77">
            <v>21034.38</v>
          </cell>
          <cell r="AO77">
            <v>72949.02</v>
          </cell>
          <cell r="AS77">
            <v>80109.66</v>
          </cell>
          <cell r="AW77">
            <v>38040.9</v>
          </cell>
          <cell r="BA77">
            <v>64445.76</v>
          </cell>
        </row>
        <row r="78">
          <cell r="I78">
            <v>4752.5</v>
          </cell>
          <cell r="N78">
            <v>237815.1</v>
          </cell>
          <cell r="O78">
            <v>7413.9</v>
          </cell>
          <cell r="P78">
            <v>3992.1</v>
          </cell>
          <cell r="V78">
            <v>184777.2</v>
          </cell>
          <cell r="Z78">
            <v>50186.4</v>
          </cell>
          <cell r="AA78">
            <v>2281.2</v>
          </cell>
          <cell r="AB78">
            <v>1710.9</v>
          </cell>
          <cell r="AC78">
            <v>570.3</v>
          </cell>
          <cell r="AD78">
            <v>26804.1</v>
          </cell>
          <cell r="AE78">
            <v>26804.1</v>
          </cell>
          <cell r="AO78">
            <v>92958.9</v>
          </cell>
          <cell r="AS78">
            <v>102083.7</v>
          </cell>
          <cell r="AW78">
            <v>48475.5</v>
          </cell>
          <cell r="BA78">
            <v>82123.2</v>
          </cell>
        </row>
        <row r="79">
          <cell r="I79">
            <v>3924.1</v>
          </cell>
          <cell r="N79">
            <v>196361.96</v>
          </cell>
          <cell r="O79">
            <v>6121.6</v>
          </cell>
          <cell r="P79">
            <v>3296.24</v>
          </cell>
          <cell r="V79">
            <v>152569.01</v>
          </cell>
          <cell r="Z79">
            <v>41438.5</v>
          </cell>
          <cell r="AA79">
            <v>1883.57</v>
          </cell>
          <cell r="AB79">
            <v>1412.68</v>
          </cell>
          <cell r="AC79">
            <v>470.89</v>
          </cell>
          <cell r="AD79">
            <v>22131.92</v>
          </cell>
          <cell r="AE79">
            <v>22131.92</v>
          </cell>
          <cell r="AO79">
            <v>76755.4</v>
          </cell>
          <cell r="AS79">
            <v>84289.67</v>
          </cell>
          <cell r="AW79">
            <v>40025.82</v>
          </cell>
          <cell r="BA79">
            <v>67808.45</v>
          </cell>
        </row>
        <row r="80">
          <cell r="I80">
            <v>1926.3</v>
          </cell>
          <cell r="N80">
            <v>141236.32</v>
          </cell>
          <cell r="O80">
            <v>3005.03</v>
          </cell>
          <cell r="P80">
            <v>1618.09</v>
          </cell>
          <cell r="V80">
            <v>74894.54</v>
          </cell>
          <cell r="Z80">
            <v>20341.73</v>
          </cell>
          <cell r="AA80">
            <v>924.62</v>
          </cell>
          <cell r="AB80">
            <v>693.47</v>
          </cell>
          <cell r="AC80">
            <v>231.16</v>
          </cell>
          <cell r="AD80">
            <v>10864.33</v>
          </cell>
          <cell r="AE80">
            <v>10864.33</v>
          </cell>
          <cell r="AJ80">
            <v>48773.92</v>
          </cell>
          <cell r="AS80">
            <v>41376.92</v>
          </cell>
          <cell r="AW80">
            <v>19648.26</v>
          </cell>
          <cell r="AZ80">
            <v>33748.78</v>
          </cell>
          <cell r="BA80">
            <v>33286.46</v>
          </cell>
        </row>
        <row r="81">
          <cell r="N81">
            <v>195397.8</v>
          </cell>
          <cell r="O81">
            <v>4157.4</v>
          </cell>
          <cell r="P81">
            <v>2238.6</v>
          </cell>
          <cell r="V81">
            <v>103615.2</v>
          </cell>
          <cell r="Z81">
            <v>28142.4</v>
          </cell>
          <cell r="AA81">
            <v>1279.2</v>
          </cell>
          <cell r="AB81">
            <v>959.4</v>
          </cell>
          <cell r="AC81">
            <v>319.8</v>
          </cell>
          <cell r="AD81">
            <v>15030.6</v>
          </cell>
          <cell r="AE81">
            <v>15030.6</v>
          </cell>
          <cell r="AJ81">
            <v>99457.8</v>
          </cell>
          <cell r="AO81">
            <v>52127.4</v>
          </cell>
          <cell r="AS81">
            <v>57244.2</v>
          </cell>
          <cell r="AW81">
            <v>27183</v>
          </cell>
          <cell r="AZ81">
            <v>46690.8</v>
          </cell>
          <cell r="BA81">
            <v>46051.2</v>
          </cell>
        </row>
        <row r="82">
          <cell r="N82">
            <v>174269.3</v>
          </cell>
          <cell r="O82">
            <v>5432.86</v>
          </cell>
          <cell r="P82">
            <v>2925.38</v>
          </cell>
          <cell r="V82">
            <v>135403.49</v>
          </cell>
          <cell r="Z82">
            <v>36776.26</v>
          </cell>
          <cell r="AA82">
            <v>1671.65</v>
          </cell>
          <cell r="AB82">
            <v>1253.74</v>
          </cell>
          <cell r="AC82">
            <v>417.91</v>
          </cell>
          <cell r="AD82">
            <v>19641.86</v>
          </cell>
          <cell r="AE82">
            <v>19641.86</v>
          </cell>
          <cell r="AO82">
            <v>68119.66</v>
          </cell>
          <cell r="AS82">
            <v>74806.25</v>
          </cell>
          <cell r="AW82">
            <v>35522.52</v>
          </cell>
          <cell r="AZ82">
            <v>61015.15</v>
          </cell>
          <cell r="BA82">
            <v>60179.33</v>
          </cell>
        </row>
        <row r="83">
          <cell r="I83">
            <v>6349</v>
          </cell>
          <cell r="N83">
            <v>465508.68</v>
          </cell>
          <cell r="O83">
            <v>9904.44</v>
          </cell>
          <cell r="P83">
            <v>5333.16</v>
          </cell>
          <cell r="V83">
            <v>246849.12</v>
          </cell>
          <cell r="Z83">
            <v>0</v>
          </cell>
          <cell r="AA83">
            <v>3047.52</v>
          </cell>
          <cell r="AB83">
            <v>2285.64</v>
          </cell>
          <cell r="AC83">
            <v>761.88</v>
          </cell>
          <cell r="AD83">
            <v>35808.36</v>
          </cell>
          <cell r="AE83">
            <v>35808.36</v>
          </cell>
          <cell r="AJ83">
            <v>236944.68</v>
          </cell>
          <cell r="AO83">
            <v>124186.44</v>
          </cell>
          <cell r="AS83">
            <v>136376.52</v>
          </cell>
          <cell r="AW83">
            <v>64759.8</v>
          </cell>
          <cell r="AZ83">
            <v>111234.48</v>
          </cell>
          <cell r="BA83">
            <v>109710.72</v>
          </cell>
          <cell r="BC83">
            <v>184374.96</v>
          </cell>
        </row>
        <row r="84">
          <cell r="I84">
            <v>1260</v>
          </cell>
          <cell r="N84">
            <v>92383.2</v>
          </cell>
          <cell r="O84">
            <v>1965.6</v>
          </cell>
          <cell r="P84">
            <v>1058.4</v>
          </cell>
          <cell r="V84">
            <v>48988.8</v>
          </cell>
          <cell r="Z84">
            <v>13305.6</v>
          </cell>
          <cell r="AA84">
            <v>604.8</v>
          </cell>
          <cell r="AB84">
            <v>453.6</v>
          </cell>
          <cell r="AC84">
            <v>151.2</v>
          </cell>
          <cell r="AD84">
            <v>7106.4</v>
          </cell>
          <cell r="AE84">
            <v>7106.4</v>
          </cell>
          <cell r="AO84">
            <v>24645.6</v>
          </cell>
          <cell r="AS84">
            <v>14364</v>
          </cell>
          <cell r="AW84">
            <v>12700.8</v>
          </cell>
          <cell r="AZ84">
            <v>22075.2</v>
          </cell>
          <cell r="BA84">
            <v>21772.8</v>
          </cell>
        </row>
        <row r="85">
          <cell r="I85">
            <v>1752.7</v>
          </cell>
          <cell r="N85">
            <v>128507.96</v>
          </cell>
          <cell r="O85">
            <v>2734.21</v>
          </cell>
          <cell r="P85">
            <v>1472.27</v>
          </cell>
          <cell r="V85">
            <v>68144.98</v>
          </cell>
          <cell r="Z85">
            <v>18508.51</v>
          </cell>
          <cell r="AA85">
            <v>841.3</v>
          </cell>
          <cell r="AB85">
            <v>630.97</v>
          </cell>
          <cell r="AC85">
            <v>210.32</v>
          </cell>
          <cell r="AD85">
            <v>9885.23</v>
          </cell>
          <cell r="AE85">
            <v>9885.23</v>
          </cell>
          <cell r="AO85">
            <v>34282.81</v>
          </cell>
          <cell r="AS85">
            <v>19980.78</v>
          </cell>
          <cell r="AW85">
            <v>17667.22</v>
          </cell>
          <cell r="AZ85">
            <v>30707.3</v>
          </cell>
          <cell r="BA85">
            <v>30286.66</v>
          </cell>
        </row>
        <row r="86">
          <cell r="N86">
            <v>126293.7</v>
          </cell>
          <cell r="O86">
            <v>2687.1</v>
          </cell>
          <cell r="P86">
            <v>1446.9</v>
          </cell>
          <cell r="V86">
            <v>66970.8</v>
          </cell>
          <cell r="Z86">
            <v>18189.6</v>
          </cell>
          <cell r="AA86">
            <v>826.8</v>
          </cell>
          <cell r="AB86">
            <v>620.1</v>
          </cell>
          <cell r="AC86">
            <v>206.7</v>
          </cell>
          <cell r="AD86">
            <v>9714.9</v>
          </cell>
          <cell r="AE86">
            <v>9714.9</v>
          </cell>
          <cell r="AO86">
            <v>33692.1</v>
          </cell>
          <cell r="AS86">
            <v>19636.5</v>
          </cell>
          <cell r="AW86">
            <v>17362.8</v>
          </cell>
          <cell r="AZ86">
            <v>30178.2</v>
          </cell>
          <cell r="BA86">
            <v>29764.8</v>
          </cell>
        </row>
        <row r="87">
          <cell r="N87">
            <v>96041.87</v>
          </cell>
          <cell r="O87">
            <v>2043.44</v>
          </cell>
          <cell r="P87">
            <v>1100.32</v>
          </cell>
          <cell r="V87">
            <v>50928.91</v>
          </cell>
          <cell r="Z87">
            <v>13832.54</v>
          </cell>
          <cell r="AA87">
            <v>628.75</v>
          </cell>
          <cell r="AC87">
            <v>157.19</v>
          </cell>
          <cell r="AD87">
            <v>7387.84</v>
          </cell>
          <cell r="AE87">
            <v>7387.84</v>
          </cell>
          <cell r="AO87">
            <v>25621.64</v>
          </cell>
          <cell r="AS87">
            <v>14932.86</v>
          </cell>
          <cell r="AW87">
            <v>13203.79</v>
          </cell>
          <cell r="AZ87">
            <v>22949.45</v>
          </cell>
          <cell r="BA87">
            <v>22635.07</v>
          </cell>
        </row>
        <row r="88">
          <cell r="N88">
            <v>97508.27</v>
          </cell>
          <cell r="O88">
            <v>2074.64</v>
          </cell>
          <cell r="P88">
            <v>1117.12</v>
          </cell>
          <cell r="V88">
            <v>51706.51</v>
          </cell>
          <cell r="Z88">
            <v>14043.74</v>
          </cell>
          <cell r="AA88">
            <v>638.35</v>
          </cell>
          <cell r="AB88">
            <v>478.76</v>
          </cell>
          <cell r="AC88">
            <v>159.59</v>
          </cell>
          <cell r="AD88">
            <v>7500.64</v>
          </cell>
          <cell r="AE88">
            <v>7500.64</v>
          </cell>
          <cell r="AO88">
            <v>26012.84</v>
          </cell>
          <cell r="AS88">
            <v>15160.86</v>
          </cell>
          <cell r="AW88">
            <v>13405.39</v>
          </cell>
          <cell r="AZ88">
            <v>23299.85</v>
          </cell>
          <cell r="BA88">
            <v>22980.67</v>
          </cell>
        </row>
        <row r="89">
          <cell r="N89">
            <v>97852.87</v>
          </cell>
          <cell r="O89">
            <v>2081.98</v>
          </cell>
          <cell r="P89">
            <v>1121.06</v>
          </cell>
          <cell r="V89">
            <v>51889.25</v>
          </cell>
          <cell r="Z89">
            <v>14093.38</v>
          </cell>
          <cell r="AA89">
            <v>640.61</v>
          </cell>
          <cell r="AB89">
            <v>480.46</v>
          </cell>
          <cell r="AC89">
            <v>160.15</v>
          </cell>
          <cell r="AD89">
            <v>7527.14</v>
          </cell>
          <cell r="AE89">
            <v>7527.14</v>
          </cell>
          <cell r="AS89">
            <v>15214.44</v>
          </cell>
          <cell r="AW89">
            <v>13452.77</v>
          </cell>
          <cell r="BA89">
            <v>23061.89</v>
          </cell>
        </row>
        <row r="90">
          <cell r="N90">
            <v>65342.78</v>
          </cell>
          <cell r="O90">
            <v>1390.27</v>
          </cell>
          <cell r="P90">
            <v>748.61</v>
          </cell>
          <cell r="V90">
            <v>34649.86</v>
          </cell>
          <cell r="Z90">
            <v>9411.07</v>
          </cell>
          <cell r="AA90">
            <v>427.78</v>
          </cell>
          <cell r="AB90">
            <v>320.83</v>
          </cell>
          <cell r="AC90">
            <v>106.94</v>
          </cell>
          <cell r="AD90">
            <v>5026.37</v>
          </cell>
          <cell r="AE90">
            <v>5026.37</v>
          </cell>
          <cell r="AO90">
            <v>17431.87</v>
          </cell>
          <cell r="AS90">
            <v>10159.68</v>
          </cell>
          <cell r="AW90">
            <v>8983.3</v>
          </cell>
          <cell r="AZ90">
            <v>15613.82</v>
          </cell>
          <cell r="BA90">
            <v>15399.94</v>
          </cell>
        </row>
        <row r="92">
          <cell r="N92">
            <v>45040.48</v>
          </cell>
          <cell r="O92">
            <v>958.31</v>
          </cell>
          <cell r="P92">
            <v>516.01</v>
          </cell>
          <cell r="Z92">
            <v>6487.01</v>
          </cell>
          <cell r="AA92">
            <v>294.86</v>
          </cell>
          <cell r="AC92">
            <v>73.72</v>
          </cell>
          <cell r="AD92">
            <v>3464.65</v>
          </cell>
          <cell r="AE92">
            <v>3464.65</v>
          </cell>
          <cell r="AJ92">
            <v>22925.68</v>
          </cell>
          <cell r="AO92">
            <v>12015.71</v>
          </cell>
          <cell r="AS92">
            <v>7003.02</v>
          </cell>
          <cell r="AW92">
            <v>6192.14</v>
          </cell>
          <cell r="AZ92">
            <v>10762.54</v>
          </cell>
          <cell r="BA92">
            <v>10615.1</v>
          </cell>
        </row>
      </sheetData>
      <sheetData sheetId="8">
        <row r="13">
          <cell r="F13">
            <v>10386.33</v>
          </cell>
        </row>
        <row r="14">
          <cell r="F14">
            <v>37506.84</v>
          </cell>
        </row>
        <row r="15">
          <cell r="F15">
            <v>48336.06</v>
          </cell>
        </row>
        <row r="16">
          <cell r="F16">
            <v>23119.35</v>
          </cell>
        </row>
        <row r="17">
          <cell r="F17">
            <v>43755.33</v>
          </cell>
        </row>
        <row r="18">
          <cell r="F18">
            <v>13211.94</v>
          </cell>
        </row>
        <row r="19">
          <cell r="F19">
            <v>52360.38</v>
          </cell>
        </row>
        <row r="20">
          <cell r="F20">
            <v>36963.3</v>
          </cell>
        </row>
        <row r="21">
          <cell r="F21">
            <v>16986.15</v>
          </cell>
        </row>
        <row r="22">
          <cell r="F22">
            <v>124466.34</v>
          </cell>
        </row>
        <row r="23">
          <cell r="F23">
            <v>36037.32</v>
          </cell>
        </row>
        <row r="25">
          <cell r="F25">
            <v>53395.92</v>
          </cell>
        </row>
        <row r="26">
          <cell r="F26">
            <v>47408.82</v>
          </cell>
        </row>
        <row r="27">
          <cell r="F27">
            <v>32836.86</v>
          </cell>
        </row>
        <row r="28">
          <cell r="F28">
            <v>13080.3</v>
          </cell>
        </row>
        <row r="29">
          <cell r="F29">
            <v>41457.51</v>
          </cell>
        </row>
        <row r="30">
          <cell r="F30">
            <v>61465.14</v>
          </cell>
        </row>
        <row r="31">
          <cell r="F31">
            <v>26398.53</v>
          </cell>
        </row>
        <row r="32">
          <cell r="F32">
            <v>19680.96</v>
          </cell>
        </row>
        <row r="37">
          <cell r="F37">
            <v>35189.55</v>
          </cell>
        </row>
        <row r="38">
          <cell r="F38">
            <v>60072.33</v>
          </cell>
        </row>
        <row r="39">
          <cell r="F39">
            <v>47800.47</v>
          </cell>
        </row>
        <row r="40">
          <cell r="F40">
            <v>7151.79</v>
          </cell>
        </row>
        <row r="42">
          <cell r="F42">
            <v>13102.95</v>
          </cell>
        </row>
        <row r="43">
          <cell r="F43">
            <v>53919.69</v>
          </cell>
        </row>
        <row r="44">
          <cell r="F44">
            <v>13053.15</v>
          </cell>
        </row>
        <row r="46">
          <cell r="F46">
            <v>37738.47</v>
          </cell>
        </row>
        <row r="47">
          <cell r="F47">
            <v>48884.4</v>
          </cell>
        </row>
        <row r="48">
          <cell r="F48">
            <v>56209.02</v>
          </cell>
        </row>
        <row r="51">
          <cell r="F51">
            <v>7913.94</v>
          </cell>
        </row>
        <row r="52">
          <cell r="F52">
            <v>39180.27</v>
          </cell>
        </row>
        <row r="53">
          <cell r="F53">
            <v>54819</v>
          </cell>
        </row>
        <row r="55">
          <cell r="F55">
            <v>59412</v>
          </cell>
        </row>
        <row r="56">
          <cell r="F56">
            <v>46861.83</v>
          </cell>
        </row>
        <row r="57">
          <cell r="F57">
            <v>44145.84</v>
          </cell>
        </row>
        <row r="58">
          <cell r="F58">
            <v>41254.35</v>
          </cell>
        </row>
        <row r="59">
          <cell r="F59">
            <v>45031.53</v>
          </cell>
        </row>
        <row r="62">
          <cell r="F62">
            <v>63505.23</v>
          </cell>
        </row>
        <row r="63">
          <cell r="F63">
            <v>49978.89</v>
          </cell>
        </row>
        <row r="66">
          <cell r="F66">
            <v>3785.64</v>
          </cell>
        </row>
        <row r="68">
          <cell r="F68">
            <v>44781.72</v>
          </cell>
        </row>
        <row r="69">
          <cell r="F69">
            <v>53910.69</v>
          </cell>
        </row>
        <row r="70">
          <cell r="F70">
            <v>32870.22</v>
          </cell>
        </row>
        <row r="71">
          <cell r="F71">
            <v>82190.64</v>
          </cell>
        </row>
        <row r="72">
          <cell r="F72">
            <v>50950</v>
          </cell>
        </row>
        <row r="73">
          <cell r="F73">
            <v>40202.58</v>
          </cell>
        </row>
        <row r="74">
          <cell r="F74">
            <v>56325.72</v>
          </cell>
        </row>
        <row r="75">
          <cell r="F75">
            <v>48107.31</v>
          </cell>
        </row>
        <row r="76">
          <cell r="F76">
            <v>48055.77</v>
          </cell>
        </row>
        <row r="77">
          <cell r="F77">
            <v>848.68</v>
          </cell>
        </row>
        <row r="78">
          <cell r="F78">
            <v>848.68</v>
          </cell>
        </row>
        <row r="79">
          <cell r="F79">
            <v>7274.3</v>
          </cell>
        </row>
        <row r="80">
          <cell r="F80">
            <v>7274.3</v>
          </cell>
        </row>
        <row r="81">
          <cell r="F81">
            <v>43888</v>
          </cell>
        </row>
        <row r="82">
          <cell r="F82">
            <v>9835.41</v>
          </cell>
        </row>
        <row r="83">
          <cell r="F83">
            <v>37856.67</v>
          </cell>
        </row>
        <row r="84">
          <cell r="F84">
            <v>3637.14</v>
          </cell>
        </row>
        <row r="85">
          <cell r="F85">
            <v>7667.16</v>
          </cell>
        </row>
        <row r="86">
          <cell r="F86">
            <v>9842.37</v>
          </cell>
        </row>
        <row r="87">
          <cell r="F87">
            <v>9042.24</v>
          </cell>
        </row>
        <row r="88">
          <cell r="F88">
            <v>23796.93</v>
          </cell>
        </row>
        <row r="89">
          <cell r="F89">
            <v>2121.72</v>
          </cell>
        </row>
        <row r="90">
          <cell r="F90">
            <v>9568.74</v>
          </cell>
        </row>
        <row r="92">
          <cell r="F92">
            <v>25456.98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20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1">
          <cell r="N11">
            <v>195163.18</v>
          </cell>
          <cell r="P11">
            <v>2235.91</v>
          </cell>
          <cell r="V11">
            <v>103490.78</v>
          </cell>
          <cell r="Y11">
            <v>28108.61</v>
          </cell>
          <cell r="AA11">
            <v>1277.66</v>
          </cell>
          <cell r="AB11">
            <v>958.25</v>
          </cell>
          <cell r="AC11">
            <v>319.42</v>
          </cell>
          <cell r="AD11">
            <v>15012.55</v>
          </cell>
          <cell r="AE11">
            <v>15012.55</v>
          </cell>
          <cell r="AJ11">
            <v>99338.38</v>
          </cell>
          <cell r="AS11">
            <v>30344.52</v>
          </cell>
          <cell r="AZ11">
            <v>46634.74</v>
          </cell>
          <cell r="BA11">
            <v>45995.9</v>
          </cell>
        </row>
        <row r="13">
          <cell r="AB13">
            <v>979.34</v>
          </cell>
        </row>
        <row r="14">
          <cell r="AB14">
            <v>970.96</v>
          </cell>
        </row>
        <row r="15">
          <cell r="AB15">
            <v>982.8</v>
          </cell>
        </row>
        <row r="17">
          <cell r="AB17">
            <v>979.24</v>
          </cell>
        </row>
        <row r="18">
          <cell r="AB18">
            <v>1928.88</v>
          </cell>
          <cell r="AJ18">
            <v>199960.56</v>
          </cell>
        </row>
        <row r="20">
          <cell r="AB20">
            <v>986.83</v>
          </cell>
          <cell r="AJ20">
            <v>102301.58</v>
          </cell>
        </row>
        <row r="23">
          <cell r="AB23">
            <v>1587.82</v>
          </cell>
        </row>
        <row r="25">
          <cell r="AB25">
            <v>1562.94</v>
          </cell>
        </row>
        <row r="27">
          <cell r="AJ27">
            <v>164383.4</v>
          </cell>
        </row>
        <row r="29">
          <cell r="AJ29">
            <v>164461.78</v>
          </cell>
        </row>
        <row r="30">
          <cell r="AB30">
            <v>979.92</v>
          </cell>
        </row>
        <row r="31">
          <cell r="AB31">
            <v>1100.81</v>
          </cell>
        </row>
        <row r="32">
          <cell r="AB32">
            <v>2149.24</v>
          </cell>
        </row>
        <row r="33">
          <cell r="N33">
            <v>242850.5</v>
          </cell>
          <cell r="P33">
            <v>2782.25</v>
          </cell>
          <cell r="V33">
            <v>128778.34</v>
          </cell>
          <cell r="Z33">
            <v>34976.83</v>
          </cell>
          <cell r="AA33">
            <v>1589.86</v>
          </cell>
          <cell r="AB33">
            <v>1192.39</v>
          </cell>
          <cell r="AC33">
            <v>397.46</v>
          </cell>
          <cell r="AD33">
            <v>18680.81</v>
          </cell>
          <cell r="AE33">
            <v>18680.81</v>
          </cell>
          <cell r="AJ33">
            <v>123611.3</v>
          </cell>
          <cell r="AO33">
            <v>64786.63</v>
          </cell>
          <cell r="AS33">
            <v>71146.06</v>
          </cell>
          <cell r="AW33">
            <v>60414.53</v>
          </cell>
          <cell r="AZ33">
            <v>58029.74</v>
          </cell>
          <cell r="BA33">
            <v>57234.82</v>
          </cell>
        </row>
        <row r="34">
          <cell r="N34">
            <v>258863.59</v>
          </cell>
          <cell r="O34">
            <v>5507.74</v>
          </cell>
          <cell r="P34">
            <v>2965.7</v>
          </cell>
          <cell r="V34">
            <v>137269.73</v>
          </cell>
          <cell r="Z34">
            <v>37283.14</v>
          </cell>
          <cell r="AA34">
            <v>1694.69</v>
          </cell>
          <cell r="AB34">
            <v>1271.02</v>
          </cell>
          <cell r="AC34">
            <v>423.67</v>
          </cell>
          <cell r="AD34">
            <v>19912.58</v>
          </cell>
          <cell r="AE34">
            <v>19912.58</v>
          </cell>
          <cell r="AJ34">
            <v>131761.99</v>
          </cell>
          <cell r="AO34">
            <v>69058.54</v>
          </cell>
          <cell r="AS34">
            <v>75837.29</v>
          </cell>
          <cell r="AW34">
            <v>64398.14</v>
          </cell>
          <cell r="AZ34">
            <v>61856.11</v>
          </cell>
          <cell r="BA34">
            <v>61008.77</v>
          </cell>
        </row>
        <row r="35">
          <cell r="AB35">
            <v>2568.53</v>
          </cell>
        </row>
        <row r="36">
          <cell r="AB36">
            <v>993.64</v>
          </cell>
        </row>
        <row r="38">
          <cell r="AB38">
            <v>1581.98</v>
          </cell>
        </row>
        <row r="41">
          <cell r="AB41">
            <v>1949.18</v>
          </cell>
          <cell r="AJ41">
            <v>202065.41</v>
          </cell>
        </row>
        <row r="43">
          <cell r="AB43">
            <v>1121.98</v>
          </cell>
        </row>
        <row r="44">
          <cell r="AB44">
            <v>1116.58</v>
          </cell>
        </row>
        <row r="47">
          <cell r="AB47">
            <v>1587.31</v>
          </cell>
          <cell r="AJ47">
            <v>164551.34</v>
          </cell>
        </row>
        <row r="48">
          <cell r="AB48">
            <v>967.9</v>
          </cell>
        </row>
        <row r="52">
          <cell r="AB52">
            <v>983.66</v>
          </cell>
        </row>
        <row r="53">
          <cell r="AJ53">
            <v>99700.38</v>
          </cell>
        </row>
        <row r="54">
          <cell r="AJ54">
            <v>190973.9</v>
          </cell>
        </row>
        <row r="55">
          <cell r="AB55">
            <v>974.92</v>
          </cell>
        </row>
        <row r="57">
          <cell r="AB57">
            <v>974.41</v>
          </cell>
        </row>
        <row r="58">
          <cell r="AB58">
            <v>1585.33</v>
          </cell>
        </row>
        <row r="60">
          <cell r="AJ60">
            <v>49572.16</v>
          </cell>
        </row>
        <row r="61">
          <cell r="AB61">
            <v>477.14</v>
          </cell>
        </row>
        <row r="63">
          <cell r="AB63">
            <v>968.9</v>
          </cell>
        </row>
        <row r="66">
          <cell r="AB66">
            <v>715.25</v>
          </cell>
        </row>
        <row r="69">
          <cell r="AB69">
            <v>687.53</v>
          </cell>
        </row>
        <row r="73">
          <cell r="AB73">
            <v>1920.56</v>
          </cell>
          <cell r="AJ73">
            <v>199098.47</v>
          </cell>
        </row>
        <row r="75">
          <cell r="AJ75">
            <v>161491.1</v>
          </cell>
        </row>
        <row r="76">
          <cell r="AB76">
            <v>979.16</v>
          </cell>
        </row>
        <row r="77">
          <cell r="AZ77">
            <v>65340.84</v>
          </cell>
        </row>
        <row r="78">
          <cell r="AZ78">
            <v>83263.8</v>
          </cell>
        </row>
        <row r="79">
          <cell r="AJ79">
            <v>99358.21</v>
          </cell>
          <cell r="AZ79">
            <v>68750.23</v>
          </cell>
        </row>
        <row r="87">
          <cell r="AB87">
            <v>471.56</v>
          </cell>
        </row>
        <row r="92">
          <cell r="AB92">
            <v>221.15</v>
          </cell>
        </row>
      </sheetData>
      <sheetData sheetId="13">
        <row r="11">
          <cell r="F11">
            <v>428.8</v>
          </cell>
        </row>
        <row r="12">
          <cell r="F12">
            <v>532.14</v>
          </cell>
        </row>
        <row r="13">
          <cell r="F13">
            <v>1060.32</v>
          </cell>
        </row>
        <row r="14">
          <cell r="F14">
            <v>964.32</v>
          </cell>
        </row>
        <row r="15">
          <cell r="F15">
            <v>1358.85</v>
          </cell>
        </row>
        <row r="16">
          <cell r="F16">
            <v>985.53</v>
          </cell>
        </row>
        <row r="17">
          <cell r="F17">
            <v>776.42</v>
          </cell>
        </row>
        <row r="18">
          <cell r="F18">
            <v>1871.01</v>
          </cell>
        </row>
        <row r="19">
          <cell r="F19">
            <v>969.46</v>
          </cell>
        </row>
        <row r="20">
          <cell r="F20">
            <v>866.16</v>
          </cell>
        </row>
        <row r="21">
          <cell r="F21">
            <v>706.88</v>
          </cell>
        </row>
        <row r="22">
          <cell r="F22">
            <v>1634.07</v>
          </cell>
        </row>
        <row r="23">
          <cell r="F23">
            <v>671.79</v>
          </cell>
        </row>
        <row r="25">
          <cell r="F25">
            <v>1996.32</v>
          </cell>
        </row>
        <row r="26">
          <cell r="F26">
            <v>1990.91</v>
          </cell>
        </row>
        <row r="27">
          <cell r="F27">
            <v>800.42</v>
          </cell>
        </row>
        <row r="28">
          <cell r="F28">
            <v>1109.26</v>
          </cell>
        </row>
        <row r="29">
          <cell r="F29">
            <v>800.42</v>
          </cell>
        </row>
        <row r="30">
          <cell r="F30">
            <v>1371.18</v>
          </cell>
        </row>
        <row r="31">
          <cell r="F31">
            <v>493.48</v>
          </cell>
        </row>
        <row r="32">
          <cell r="F32">
            <v>749.99</v>
          </cell>
        </row>
        <row r="33">
          <cell r="F33">
            <v>7291.8</v>
          </cell>
        </row>
        <row r="34">
          <cell r="F34">
            <v>2579.4</v>
          </cell>
        </row>
        <row r="35">
          <cell r="F35">
            <v>14261.47</v>
          </cell>
        </row>
        <row r="36">
          <cell r="F36">
            <v>544.64</v>
          </cell>
        </row>
        <row r="37">
          <cell r="F37">
            <v>396.02</v>
          </cell>
        </row>
        <row r="38">
          <cell r="F38">
            <v>2711.2</v>
          </cell>
        </row>
        <row r="39">
          <cell r="F39">
            <v>1549.96</v>
          </cell>
        </row>
        <row r="40">
          <cell r="F40">
            <v>778.22</v>
          </cell>
        </row>
        <row r="41">
          <cell r="F41">
            <v>3623.4</v>
          </cell>
        </row>
        <row r="42">
          <cell r="F42">
            <v>1047.22</v>
          </cell>
        </row>
        <row r="43">
          <cell r="F43">
            <v>6957.63</v>
          </cell>
        </row>
        <row r="44">
          <cell r="F44">
            <v>3835.8</v>
          </cell>
        </row>
        <row r="46">
          <cell r="F46">
            <v>1298.6</v>
          </cell>
        </row>
        <row r="47">
          <cell r="F47">
            <v>1836.6</v>
          </cell>
        </row>
        <row r="48">
          <cell r="F48">
            <v>1115.44</v>
          </cell>
        </row>
        <row r="49">
          <cell r="F49">
            <v>777.34</v>
          </cell>
        </row>
        <row r="51">
          <cell r="F51">
            <v>0</v>
          </cell>
        </row>
        <row r="52">
          <cell r="F52">
            <v>1948</v>
          </cell>
        </row>
        <row r="53">
          <cell r="F53">
            <v>1495.56</v>
          </cell>
        </row>
        <row r="54">
          <cell r="F54">
            <v>1069.2</v>
          </cell>
        </row>
        <row r="55">
          <cell r="F55">
            <v>1549.38</v>
          </cell>
        </row>
        <row r="56">
          <cell r="F56">
            <v>2389.1</v>
          </cell>
        </row>
        <row r="57">
          <cell r="F57">
            <v>3166.52</v>
          </cell>
        </row>
        <row r="58">
          <cell r="F58">
            <v>2313.72</v>
          </cell>
        </row>
        <row r="59">
          <cell r="F59">
            <v>1528.8</v>
          </cell>
        </row>
        <row r="60">
          <cell r="F60">
            <v>705.6</v>
          </cell>
        </row>
        <row r="61">
          <cell r="F61">
            <v>1492.3</v>
          </cell>
        </row>
        <row r="62">
          <cell r="F62">
            <v>1181.58</v>
          </cell>
        </row>
        <row r="63">
          <cell r="F63">
            <v>793.65</v>
          </cell>
        </row>
        <row r="65">
          <cell r="F65">
            <v>2669.36</v>
          </cell>
        </row>
        <row r="66">
          <cell r="F66">
            <v>2871.74</v>
          </cell>
        </row>
        <row r="67">
          <cell r="F67">
            <v>1013.72</v>
          </cell>
        </row>
        <row r="68">
          <cell r="F68">
            <v>427.77</v>
          </cell>
        </row>
        <row r="69">
          <cell r="F69">
            <v>852.89</v>
          </cell>
        </row>
        <row r="70">
          <cell r="F70">
            <v>2151.42</v>
          </cell>
        </row>
        <row r="71">
          <cell r="F71">
            <v>571.83</v>
          </cell>
        </row>
        <row r="72">
          <cell r="F72">
            <v>1582.02</v>
          </cell>
        </row>
        <row r="73">
          <cell r="F73">
            <v>854.36</v>
          </cell>
        </row>
        <row r="74">
          <cell r="F74">
            <v>530.96</v>
          </cell>
        </row>
        <row r="75">
          <cell r="F75">
            <v>1705.78</v>
          </cell>
        </row>
        <row r="76">
          <cell r="F76">
            <v>2020.86</v>
          </cell>
        </row>
        <row r="77">
          <cell r="F77">
            <v>0</v>
          </cell>
        </row>
        <row r="81">
          <cell r="F81">
            <v>1343.58</v>
          </cell>
        </row>
        <row r="83">
          <cell r="F83">
            <v>0</v>
          </cell>
        </row>
        <row r="84">
          <cell r="F84">
            <v>1321.82</v>
          </cell>
        </row>
        <row r="85">
          <cell r="F85">
            <v>1838.98</v>
          </cell>
        </row>
        <row r="86">
          <cell r="F86">
            <v>1640.82</v>
          </cell>
        </row>
        <row r="87">
          <cell r="F87">
            <v>1333</v>
          </cell>
        </row>
        <row r="88">
          <cell r="F88">
            <v>693.84</v>
          </cell>
        </row>
        <row r="89">
          <cell r="F89">
            <v>695.6</v>
          </cell>
        </row>
        <row r="90">
          <cell r="F90">
            <v>315.76</v>
          </cell>
        </row>
        <row r="92">
          <cell r="F92">
            <v>1442.1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21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1">
          <cell r="O11">
            <v>4152.41</v>
          </cell>
          <cell r="AO11">
            <v>52064.81</v>
          </cell>
          <cell r="AW11">
            <v>26830.94</v>
          </cell>
        </row>
        <row r="12">
          <cell r="O12">
            <v>4816.66</v>
          </cell>
          <cell r="AJ12">
            <v>115229.23</v>
          </cell>
        </row>
        <row r="13">
          <cell r="AJ13">
            <v>101525.33</v>
          </cell>
          <cell r="AO13">
            <v>53211.02</v>
          </cell>
        </row>
        <row r="17">
          <cell r="AJ17">
            <v>101514.13</v>
          </cell>
          <cell r="AO17">
            <v>53205.16</v>
          </cell>
          <cell r="AZ17">
            <v>47656.15</v>
          </cell>
        </row>
        <row r="18">
          <cell r="AZ18">
            <v>93872.16</v>
          </cell>
        </row>
        <row r="20">
          <cell r="AO20">
            <v>53617.87</v>
          </cell>
        </row>
        <row r="21">
          <cell r="AJ21">
            <v>68791.96</v>
          </cell>
        </row>
        <row r="22">
          <cell r="AJ22">
            <v>100573.67</v>
          </cell>
        </row>
        <row r="23">
          <cell r="AJ23">
            <v>164603.59</v>
          </cell>
        </row>
        <row r="24">
          <cell r="AJ24">
            <v>162024.78</v>
          </cell>
        </row>
        <row r="25">
          <cell r="AJ25">
            <v>100711.75</v>
          </cell>
        </row>
        <row r="27">
          <cell r="AJ27">
            <v>120103.22</v>
          </cell>
        </row>
        <row r="28">
          <cell r="AO28">
            <v>86197.01</v>
          </cell>
        </row>
        <row r="29">
          <cell r="AJ29">
            <v>101585.04</v>
          </cell>
        </row>
        <row r="30">
          <cell r="AJ30">
            <v>114117.1</v>
          </cell>
        </row>
        <row r="31">
          <cell r="BE31">
            <v>454109.7</v>
          </cell>
        </row>
        <row r="32">
          <cell r="O32">
            <v>5167.03</v>
          </cell>
        </row>
        <row r="33">
          <cell r="O33">
            <v>5507.74</v>
          </cell>
        </row>
        <row r="34">
          <cell r="AJ34">
            <v>266270.74</v>
          </cell>
        </row>
        <row r="35">
          <cell r="O35">
            <v>4305.76</v>
          </cell>
          <cell r="AJ35">
            <v>103006.93</v>
          </cell>
          <cell r="AO35">
            <v>53987.56</v>
          </cell>
          <cell r="AZ35">
            <v>48356.95</v>
          </cell>
        </row>
        <row r="37">
          <cell r="AJ37">
            <v>163999.01</v>
          </cell>
        </row>
        <row r="38">
          <cell r="AJ38">
            <v>101267.82</v>
          </cell>
        </row>
        <row r="39">
          <cell r="AJ39">
            <v>86813.78</v>
          </cell>
          <cell r="AW39">
            <v>23727.24</v>
          </cell>
          <cell r="BE39">
            <v>264837.96</v>
          </cell>
        </row>
        <row r="40">
          <cell r="O40">
            <v>8446.46</v>
          </cell>
        </row>
        <row r="41">
          <cell r="AJ41">
            <v>152993.34</v>
          </cell>
        </row>
        <row r="42">
          <cell r="AJ42">
            <v>116311.51</v>
          </cell>
        </row>
        <row r="43">
          <cell r="AJ43">
            <v>115751.71</v>
          </cell>
        </row>
        <row r="44">
          <cell r="G44">
            <v>525.3</v>
          </cell>
          <cell r="H44">
            <v>1393.9</v>
          </cell>
          <cell r="N44">
            <v>217176.67</v>
          </cell>
          <cell r="O44">
            <v>2993.95</v>
          </cell>
          <cell r="P44">
            <v>1612.13</v>
          </cell>
          <cell r="V44">
            <v>117224.74</v>
          </cell>
          <cell r="Y44">
            <v>20266.75</v>
          </cell>
          <cell r="AA44">
            <v>921.22</v>
          </cell>
          <cell r="AB44">
            <v>690.91</v>
          </cell>
          <cell r="AC44">
            <v>230.3</v>
          </cell>
          <cell r="AD44">
            <v>24181.92</v>
          </cell>
          <cell r="AE44">
            <v>24181.92</v>
          </cell>
          <cell r="AJ44">
            <v>108473.18</v>
          </cell>
          <cell r="AO44">
            <v>58957.82</v>
          </cell>
          <cell r="AS44">
            <v>57115.39</v>
          </cell>
          <cell r="AW44">
            <v>28327.39</v>
          </cell>
          <cell r="AZ44">
            <v>51357.79</v>
          </cell>
          <cell r="BA44">
            <v>50666.88</v>
          </cell>
        </row>
        <row r="45">
          <cell r="AZ45">
            <v>39349.92</v>
          </cell>
        </row>
        <row r="47">
          <cell r="AJ47">
            <v>100338.55</v>
          </cell>
        </row>
        <row r="48">
          <cell r="O48">
            <v>2476.5</v>
          </cell>
          <cell r="AD48">
            <v>8953.5</v>
          </cell>
          <cell r="AE48">
            <v>8953.5</v>
          </cell>
          <cell r="AJ48">
            <v>59245.5</v>
          </cell>
          <cell r="AO48">
            <v>31051.5</v>
          </cell>
          <cell r="BE48">
            <v>150552.72</v>
          </cell>
        </row>
        <row r="49">
          <cell r="O49">
            <v>4384.07</v>
          </cell>
          <cell r="AJ49">
            <v>104880.4</v>
          </cell>
        </row>
        <row r="50">
          <cell r="AJ50">
            <v>73871.21</v>
          </cell>
        </row>
        <row r="53">
          <cell r="O53">
            <v>7982.83</v>
          </cell>
          <cell r="V53">
            <v>456249.55</v>
          </cell>
          <cell r="AO53">
            <v>100092.43</v>
          </cell>
        </row>
        <row r="56">
          <cell r="AJ56">
            <v>101014.04</v>
          </cell>
        </row>
        <row r="57">
          <cell r="AJ57">
            <v>164346.08</v>
          </cell>
          <cell r="AO57">
            <v>86136.37</v>
          </cell>
        </row>
        <row r="58">
          <cell r="AJ58">
            <v>163442.94</v>
          </cell>
        </row>
        <row r="59">
          <cell r="O59">
            <v>2072.15</v>
          </cell>
        </row>
        <row r="60">
          <cell r="O60">
            <v>2067.62</v>
          </cell>
          <cell r="AJ60">
            <v>49463.93</v>
          </cell>
          <cell r="AO60">
            <v>25924.82</v>
          </cell>
          <cell r="AW60">
            <v>13360.03</v>
          </cell>
          <cell r="AZ60">
            <v>23221.01</v>
          </cell>
        </row>
        <row r="61">
          <cell r="AJ61">
            <v>67026.72</v>
          </cell>
        </row>
        <row r="62">
          <cell r="AJ62">
            <v>100443.05</v>
          </cell>
        </row>
        <row r="63">
          <cell r="O63">
            <v>4672.2</v>
          </cell>
          <cell r="AJ63">
            <v>84099.6</v>
          </cell>
          <cell r="AO63">
            <v>58582.2</v>
          </cell>
          <cell r="AS63">
            <v>64332.6</v>
          </cell>
          <cell r="AZ63">
            <v>52472.4</v>
          </cell>
          <cell r="BE63">
            <v>448890.6</v>
          </cell>
        </row>
        <row r="64">
          <cell r="O64">
            <v>1971.22</v>
          </cell>
          <cell r="AJ64">
            <v>47157.55</v>
          </cell>
        </row>
        <row r="65">
          <cell r="AJ65">
            <v>74147.38</v>
          </cell>
          <cell r="AO65">
            <v>38861.81</v>
          </cell>
        </row>
        <row r="66">
          <cell r="O66">
            <v>2476.81</v>
          </cell>
          <cell r="AJ66">
            <v>59252.96</v>
          </cell>
        </row>
        <row r="67">
          <cell r="AJ67">
            <v>100368.41</v>
          </cell>
        </row>
        <row r="71">
          <cell r="AJ71">
            <v>74815.4</v>
          </cell>
        </row>
        <row r="75">
          <cell r="AJ75">
            <v>101506.67</v>
          </cell>
        </row>
        <row r="76">
          <cell r="AJ76">
            <v>94430.94</v>
          </cell>
          <cell r="BE76">
            <v>319096.02</v>
          </cell>
        </row>
        <row r="77">
          <cell r="AJ77">
            <v>120333.3</v>
          </cell>
          <cell r="BE77">
            <v>406623.9</v>
          </cell>
        </row>
        <row r="78">
          <cell r="BE78">
            <v>335746</v>
          </cell>
        </row>
        <row r="79">
          <cell r="AO79">
            <v>37678.43</v>
          </cell>
          <cell r="BE79">
            <v>164814.23</v>
          </cell>
        </row>
        <row r="81">
          <cell r="AJ81">
            <v>88179.43</v>
          </cell>
          <cell r="BE81">
            <v>297971.26</v>
          </cell>
        </row>
        <row r="82">
          <cell r="BE82">
            <v>951588.12</v>
          </cell>
        </row>
        <row r="83">
          <cell r="AJ83">
            <v>47023.2</v>
          </cell>
        </row>
        <row r="84">
          <cell r="AJ84">
            <v>65410.76</v>
          </cell>
        </row>
        <row r="85">
          <cell r="AJ85">
            <v>64283.7</v>
          </cell>
        </row>
        <row r="86">
          <cell r="AJ86">
            <v>48885.47</v>
          </cell>
        </row>
        <row r="87">
          <cell r="AJ87">
            <v>49631.87</v>
          </cell>
        </row>
        <row r="88">
          <cell r="AJ88">
            <v>49807.27</v>
          </cell>
          <cell r="AO88">
            <v>26104.78</v>
          </cell>
          <cell r="AZ88">
            <v>23382.19</v>
          </cell>
        </row>
        <row r="89">
          <cell r="AJ89">
            <v>33259.58</v>
          </cell>
        </row>
        <row r="91">
          <cell r="N91">
            <v>16968945</v>
          </cell>
          <cell r="O91">
            <v>370613</v>
          </cell>
          <cell r="P91">
            <v>199561</v>
          </cell>
          <cell r="V91">
            <v>9533681</v>
          </cell>
          <cell r="Y91">
            <v>2374468</v>
          </cell>
          <cell r="AA91">
            <v>114035</v>
          </cell>
          <cell r="AB91">
            <v>85526</v>
          </cell>
          <cell r="AC91">
            <v>28509</v>
          </cell>
          <cell r="AD91">
            <v>1353267</v>
          </cell>
          <cell r="AE91">
            <v>1353267</v>
          </cell>
          <cell r="AJ91">
            <v>8589963</v>
          </cell>
          <cell r="AO91">
            <v>4652983</v>
          </cell>
          <cell r="AS91">
            <v>3584444</v>
          </cell>
          <cell r="AW91">
            <v>2469327</v>
          </cell>
          <cell r="AZ91">
            <v>4180005</v>
          </cell>
          <cell r="BA91">
            <v>4122758</v>
          </cell>
          <cell r="BC91">
            <v>369322.01</v>
          </cell>
          <cell r="BE91">
            <v>3794231</v>
          </cell>
        </row>
      </sheetData>
      <sheetData sheetId="8">
        <row r="91">
          <cell r="F91">
            <v>2361108</v>
          </cell>
        </row>
      </sheetData>
      <sheetData sheetId="13">
        <row r="11">
          <cell r="G11">
            <v>33260.79</v>
          </cell>
        </row>
        <row r="12">
          <cell r="G12">
            <v>19044.91</v>
          </cell>
        </row>
        <row r="13">
          <cell r="R13">
            <v>240</v>
          </cell>
        </row>
        <row r="17">
          <cell r="R17">
            <v>600</v>
          </cell>
        </row>
        <row r="22">
          <cell r="R22">
            <v>10965</v>
          </cell>
        </row>
        <row r="23">
          <cell r="Q23">
            <v>7973</v>
          </cell>
        </row>
        <row r="30">
          <cell r="R30">
            <v>7097.5</v>
          </cell>
        </row>
        <row r="31">
          <cell r="Z31">
            <v>22000</v>
          </cell>
        </row>
        <row r="32">
          <cell r="G32">
            <v>29278.95</v>
          </cell>
        </row>
        <row r="33">
          <cell r="G33">
            <v>26487.51</v>
          </cell>
        </row>
        <row r="34">
          <cell r="R34">
            <v>840</v>
          </cell>
        </row>
        <row r="35">
          <cell r="G35">
            <v>0</v>
          </cell>
        </row>
        <row r="37">
          <cell r="R37">
            <v>360</v>
          </cell>
        </row>
        <row r="38">
          <cell r="R38">
            <v>360</v>
          </cell>
        </row>
        <row r="39">
          <cell r="R39">
            <v>22100</v>
          </cell>
          <cell r="Z39">
            <v>11000</v>
          </cell>
        </row>
        <row r="40">
          <cell r="G40">
            <v>0</v>
          </cell>
        </row>
        <row r="41">
          <cell r="Q41">
            <v>76704</v>
          </cell>
        </row>
        <row r="42">
          <cell r="R42">
            <v>12155</v>
          </cell>
        </row>
        <row r="43">
          <cell r="R43">
            <v>12155</v>
          </cell>
        </row>
        <row r="44">
          <cell r="G44">
            <v>26544.54</v>
          </cell>
        </row>
        <row r="47">
          <cell r="R47">
            <v>5015</v>
          </cell>
        </row>
        <row r="48">
          <cell r="Z48">
            <v>11000</v>
          </cell>
        </row>
        <row r="49">
          <cell r="R49">
            <v>1000</v>
          </cell>
        </row>
        <row r="50">
          <cell r="R50">
            <v>5549</v>
          </cell>
        </row>
        <row r="56">
          <cell r="R56">
            <v>240</v>
          </cell>
        </row>
        <row r="57">
          <cell r="R57">
            <v>120</v>
          </cell>
        </row>
        <row r="63">
          <cell r="R63">
            <v>35000</v>
          </cell>
          <cell r="Z63">
            <v>22000</v>
          </cell>
        </row>
        <row r="64">
          <cell r="G64">
            <v>2273.25</v>
          </cell>
          <cell r="Q64">
            <v>45648</v>
          </cell>
        </row>
        <row r="66">
          <cell r="R66">
            <v>37632</v>
          </cell>
        </row>
        <row r="67">
          <cell r="R67">
            <v>360</v>
          </cell>
        </row>
        <row r="71">
          <cell r="R71">
            <v>7800</v>
          </cell>
        </row>
        <row r="76">
          <cell r="Z76">
            <v>22000</v>
          </cell>
        </row>
        <row r="77">
          <cell r="Z77">
            <v>22000</v>
          </cell>
        </row>
        <row r="78">
          <cell r="Z78">
            <v>22000</v>
          </cell>
        </row>
        <row r="79">
          <cell r="Z79">
            <v>11000</v>
          </cell>
        </row>
        <row r="81">
          <cell r="R81">
            <v>26910</v>
          </cell>
          <cell r="Z81">
            <v>11000</v>
          </cell>
        </row>
        <row r="82">
          <cell r="Z82">
            <v>54106</v>
          </cell>
        </row>
        <row r="83">
          <cell r="R83">
            <v>1950</v>
          </cell>
        </row>
        <row r="84">
          <cell r="R84">
            <v>62304</v>
          </cell>
        </row>
        <row r="85">
          <cell r="R85">
            <v>108810</v>
          </cell>
        </row>
        <row r="86">
          <cell r="R86">
            <v>127530</v>
          </cell>
        </row>
        <row r="87">
          <cell r="R87">
            <v>9503</v>
          </cell>
        </row>
        <row r="88">
          <cell r="R88">
            <v>9432</v>
          </cell>
        </row>
        <row r="89">
          <cell r="R89">
            <v>0</v>
          </cell>
        </row>
        <row r="91">
          <cell r="R91">
            <v>636352.5</v>
          </cell>
          <cell r="Z91">
            <v>208106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 ЖЭУ 7 2021"/>
      <sheetName val="ЖЭУ 7 2021"/>
      <sheetName val="ПОБЕДЫ 6А 1 п."/>
      <sheetName val="ПОБЕДЫ 6А 2 п."/>
      <sheetName val="УК ЖЭУ 7 2021+ООО жэу-7"/>
      <sheetName val="УК+ООО"/>
    </sheetNames>
    <sheetDataSet>
      <sheetData sheetId="2">
        <row r="41">
          <cell r="I41">
            <v>620294.4</v>
          </cell>
        </row>
      </sheetData>
      <sheetData sheetId="3">
        <row r="36">
          <cell r="I36">
            <v>564825.84</v>
          </cell>
        </row>
      </sheetData>
      <sheetData sheetId="5">
        <row r="12">
          <cell r="K12">
            <v>660701.64</v>
          </cell>
          <cell r="L12" t="str">
            <v>-0,01</v>
          </cell>
          <cell r="N12">
            <v>645337.28</v>
          </cell>
        </row>
        <row r="13">
          <cell r="K13">
            <v>674106.6</v>
          </cell>
          <cell r="N13">
            <v>657811.72</v>
          </cell>
        </row>
        <row r="14">
          <cell r="K14">
            <v>679368.6</v>
          </cell>
          <cell r="N14">
            <v>644002.27</v>
          </cell>
        </row>
        <row r="15">
          <cell r="K15">
            <v>666186.96</v>
          </cell>
          <cell r="N15">
            <v>656114.63</v>
          </cell>
        </row>
        <row r="16">
          <cell r="K16">
            <v>1311606.84</v>
          </cell>
          <cell r="N16">
            <v>1307554.98</v>
          </cell>
        </row>
        <row r="17">
          <cell r="K17">
            <v>732887.16</v>
          </cell>
          <cell r="N17">
            <v>677781.41</v>
          </cell>
        </row>
        <row r="18">
          <cell r="K18">
            <v>762484.47</v>
          </cell>
          <cell r="N18">
            <v>778651.17</v>
          </cell>
        </row>
        <row r="19">
          <cell r="K19">
            <v>374868.84</v>
          </cell>
          <cell r="N19">
            <v>366839.08</v>
          </cell>
        </row>
        <row r="20">
          <cell r="K20">
            <v>647622.5</v>
          </cell>
          <cell r="N20">
            <v>680082.18</v>
          </cell>
        </row>
        <row r="21">
          <cell r="K21">
            <v>675250.52</v>
          </cell>
          <cell r="N21">
            <v>627025.66</v>
          </cell>
        </row>
        <row r="22">
          <cell r="K22">
            <v>675784.92</v>
          </cell>
          <cell r="N22">
            <v>694719.84</v>
          </cell>
        </row>
        <row r="23">
          <cell r="K23">
            <v>673317.33</v>
          </cell>
          <cell r="N23">
            <v>657665.48</v>
          </cell>
        </row>
        <row r="25">
          <cell r="K25">
            <v>908328.96</v>
          </cell>
          <cell r="N25">
            <v>913104.74</v>
          </cell>
        </row>
        <row r="26">
          <cell r="K26">
            <v>949025.28</v>
          </cell>
          <cell r="N26">
            <v>889601.29</v>
          </cell>
        </row>
        <row r="27">
          <cell r="K27">
            <v>2684360.88</v>
          </cell>
          <cell r="N27">
            <v>1742676.73</v>
          </cell>
        </row>
        <row r="28">
          <cell r="K28">
            <v>1702454.88</v>
          </cell>
          <cell r="N28">
            <v>1760949.78</v>
          </cell>
        </row>
        <row r="30">
          <cell r="K30">
            <v>543239.88</v>
          </cell>
          <cell r="N30">
            <v>471767.77</v>
          </cell>
        </row>
        <row r="31">
          <cell r="K31">
            <v>1342225.44</v>
          </cell>
          <cell r="N31">
            <v>1311900.88</v>
          </cell>
        </row>
        <row r="32">
          <cell r="K32">
            <v>455237.52</v>
          </cell>
          <cell r="N32">
            <v>463258.25</v>
          </cell>
        </row>
        <row r="33">
          <cell r="K33">
            <v>1040137.08</v>
          </cell>
          <cell r="N33">
            <v>1047368.79</v>
          </cell>
        </row>
        <row r="34">
          <cell r="K34">
            <v>653460.24</v>
          </cell>
          <cell r="N34">
            <v>618556.69</v>
          </cell>
        </row>
        <row r="35">
          <cell r="K35">
            <v>836958.16</v>
          </cell>
          <cell r="N35">
            <v>942773.62</v>
          </cell>
        </row>
        <row r="37">
          <cell r="K37">
            <v>1020436.68</v>
          </cell>
          <cell r="N37">
            <v>995357.78</v>
          </cell>
        </row>
        <row r="38">
          <cell r="K38">
            <v>1087851.86</v>
          </cell>
          <cell r="N38">
            <v>1071450.71</v>
          </cell>
        </row>
        <row r="39">
          <cell r="K39">
            <v>797353.08</v>
          </cell>
          <cell r="N39">
            <v>776877.8</v>
          </cell>
        </row>
        <row r="40">
          <cell r="K40">
            <v>660776.88</v>
          </cell>
          <cell r="N40">
            <v>611145.51</v>
          </cell>
        </row>
        <row r="41">
          <cell r="K41">
            <v>1102756.76</v>
          </cell>
          <cell r="N41">
            <v>1160641.23</v>
          </cell>
        </row>
        <row r="42">
          <cell r="K42">
            <v>837561.36</v>
          </cell>
          <cell r="N42">
            <v>827956.74</v>
          </cell>
        </row>
        <row r="43">
          <cell r="K43">
            <v>1093243.68</v>
          </cell>
          <cell r="N43">
            <v>1044889.83</v>
          </cell>
        </row>
        <row r="44">
          <cell r="K44">
            <v>1794397.01</v>
          </cell>
          <cell r="N44">
            <v>1776850.73</v>
          </cell>
        </row>
        <row r="45">
          <cell r="K45">
            <v>681923.88</v>
          </cell>
          <cell r="N45">
            <v>689236.79</v>
          </cell>
        </row>
        <row r="46">
          <cell r="K46">
            <v>972442.35</v>
          </cell>
          <cell r="N46">
            <v>1000133.6</v>
          </cell>
        </row>
        <row r="47">
          <cell r="K47">
            <v>747645.72</v>
          </cell>
          <cell r="N47">
            <v>724792.05</v>
          </cell>
        </row>
        <row r="48">
          <cell r="K48">
            <v>543612</v>
          </cell>
          <cell r="N48">
            <v>522235.68</v>
          </cell>
        </row>
        <row r="49">
          <cell r="K49">
            <v>777212.04</v>
          </cell>
          <cell r="N49">
            <v>827248.32</v>
          </cell>
        </row>
        <row r="50">
          <cell r="K50">
            <v>545244</v>
          </cell>
          <cell r="N50">
            <v>535448.51</v>
          </cell>
        </row>
        <row r="51">
          <cell r="K51">
            <v>1160023.68</v>
          </cell>
          <cell r="N51">
            <v>1126874.18</v>
          </cell>
        </row>
        <row r="52">
          <cell r="K52">
            <v>1321359.48</v>
          </cell>
          <cell r="N52">
            <v>1343033.93</v>
          </cell>
        </row>
        <row r="53">
          <cell r="K53">
            <v>685201.33</v>
          </cell>
          <cell r="N53">
            <v>662256.95</v>
          </cell>
        </row>
        <row r="54">
          <cell r="K54">
            <v>1227970.47</v>
          </cell>
          <cell r="N54">
            <v>1288374.99</v>
          </cell>
        </row>
        <row r="55">
          <cell r="K55">
            <v>603417.48</v>
          </cell>
          <cell r="N55">
            <v>603472.95</v>
          </cell>
        </row>
        <row r="56">
          <cell r="K56">
            <v>680429</v>
          </cell>
          <cell r="N56">
            <v>669083.29</v>
          </cell>
        </row>
        <row r="57">
          <cell r="K57">
            <v>1048080.36</v>
          </cell>
          <cell r="N57">
            <v>1081939.26</v>
          </cell>
        </row>
        <row r="58">
          <cell r="K58">
            <v>677814.6</v>
          </cell>
          <cell r="N58">
            <v>668991.48</v>
          </cell>
        </row>
        <row r="59">
          <cell r="K59">
            <v>468324.96</v>
          </cell>
          <cell r="N59">
            <v>468006.19</v>
          </cell>
        </row>
        <row r="60">
          <cell r="K60">
            <v>677764.44</v>
          </cell>
          <cell r="N60">
            <v>647519.39</v>
          </cell>
        </row>
        <row r="61">
          <cell r="K61">
            <v>662856.72</v>
          </cell>
          <cell r="N61">
            <v>633207.6</v>
          </cell>
        </row>
        <row r="62">
          <cell r="K62">
            <v>1075497.93</v>
          </cell>
          <cell r="N62">
            <v>1073130.45</v>
          </cell>
        </row>
        <row r="66">
          <cell r="K66">
            <v>1142260.44</v>
          </cell>
          <cell r="N66">
            <v>1079461.21</v>
          </cell>
        </row>
        <row r="69">
          <cell r="K69">
            <v>1104715.47</v>
          </cell>
          <cell r="N69">
            <v>1024273.7</v>
          </cell>
        </row>
        <row r="70">
          <cell r="K70">
            <v>251286.72</v>
          </cell>
          <cell r="N70">
            <v>274274.03</v>
          </cell>
        </row>
        <row r="71">
          <cell r="K71">
            <v>249081.6</v>
          </cell>
          <cell r="N71">
            <v>248775.11</v>
          </cell>
        </row>
        <row r="73">
          <cell r="K73">
            <v>650863.04</v>
          </cell>
          <cell r="N73">
            <v>653304.43</v>
          </cell>
        </row>
        <row r="74">
          <cell r="K74">
            <v>516148.92</v>
          </cell>
          <cell r="N74">
            <v>502036.86</v>
          </cell>
        </row>
        <row r="76">
          <cell r="K76">
            <v>686083.56</v>
          </cell>
          <cell r="N76">
            <v>702446.08</v>
          </cell>
        </row>
        <row r="77">
          <cell r="K77">
            <v>674357.28</v>
          </cell>
          <cell r="N77">
            <v>676036.04</v>
          </cell>
        </row>
        <row r="80">
          <cell r="K80">
            <v>701288.64</v>
          </cell>
          <cell r="N80">
            <v>684251.25</v>
          </cell>
        </row>
        <row r="84">
          <cell r="K84">
            <v>408891.12</v>
          </cell>
          <cell r="N84">
            <v>388834.88</v>
          </cell>
        </row>
        <row r="85">
          <cell r="K85">
            <v>1052191.2</v>
          </cell>
          <cell r="N85">
            <v>1111182.98</v>
          </cell>
        </row>
        <row r="86">
          <cell r="K86">
            <v>698132.64</v>
          </cell>
          <cell r="N86">
            <v>669050.6</v>
          </cell>
        </row>
        <row r="87">
          <cell r="K87">
            <v>700740.84</v>
          </cell>
          <cell r="N87">
            <v>751109.31</v>
          </cell>
        </row>
        <row r="88">
          <cell r="K88">
            <v>1333405.08</v>
          </cell>
          <cell r="N88">
            <v>1216815.59</v>
          </cell>
        </row>
        <row r="91">
          <cell r="K91">
            <v>302375.76</v>
          </cell>
          <cell r="N91">
            <v>301480.46</v>
          </cell>
        </row>
        <row r="92">
          <cell r="K92">
            <v>555617.16</v>
          </cell>
          <cell r="N92">
            <v>570406.92</v>
          </cell>
        </row>
        <row r="93">
          <cell r="K93">
            <v>475888.56</v>
          </cell>
          <cell r="N93">
            <v>464973.94</v>
          </cell>
        </row>
        <row r="94">
          <cell r="K94">
            <v>501546</v>
          </cell>
          <cell r="N94">
            <v>477447.13</v>
          </cell>
        </row>
        <row r="95">
          <cell r="K95">
            <v>342079.22</v>
          </cell>
          <cell r="N95">
            <v>334745.3</v>
          </cell>
        </row>
        <row r="96">
          <cell r="K96">
            <v>675942.6</v>
          </cell>
          <cell r="N96">
            <v>660896.04</v>
          </cell>
        </row>
        <row r="97">
          <cell r="K97">
            <v>1084123.56</v>
          </cell>
          <cell r="N97">
            <v>1059606.93</v>
          </cell>
        </row>
        <row r="98">
          <cell r="K98">
            <v>830383.2</v>
          </cell>
          <cell r="N98">
            <v>933673.83</v>
          </cell>
        </row>
        <row r="99">
          <cell r="K99">
            <v>315705.72</v>
          </cell>
          <cell r="N99">
            <v>308954.22</v>
          </cell>
        </row>
        <row r="100">
          <cell r="K100">
            <v>439064.44</v>
          </cell>
          <cell r="N100">
            <v>392341.26</v>
          </cell>
        </row>
        <row r="101">
          <cell r="K101">
            <v>431589.24</v>
          </cell>
          <cell r="N101">
            <v>404341.59</v>
          </cell>
        </row>
        <row r="102">
          <cell r="K102">
            <v>223294.82</v>
          </cell>
          <cell r="N102">
            <v>189544.75</v>
          </cell>
        </row>
        <row r="104">
          <cell r="K104">
            <v>311596.44</v>
          </cell>
          <cell r="N104">
            <v>371530.29</v>
          </cell>
        </row>
        <row r="106">
          <cell r="K106">
            <v>130035.12</v>
          </cell>
          <cell r="N106">
            <v>109904.07</v>
          </cell>
        </row>
        <row r="107">
          <cell r="K107">
            <v>333219.72</v>
          </cell>
          <cell r="N107">
            <v>338289.55</v>
          </cell>
        </row>
        <row r="108">
          <cell r="K108">
            <v>334397.28</v>
          </cell>
          <cell r="N108">
            <v>350145.88</v>
          </cell>
        </row>
        <row r="109">
          <cell r="J109">
            <v>18083557.780000005</v>
          </cell>
          <cell r="K109">
            <v>61242238.07999998</v>
          </cell>
          <cell r="N109">
            <v>59854703.47000002</v>
          </cell>
          <cell r="O109">
            <v>19471092.410000004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20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13">
        <row r="11">
          <cell r="X11">
            <v>14014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4"/>
  <sheetViews>
    <sheetView zoomScalePageLayoutView="0" workbookViewId="0" topLeftCell="C1">
      <pane xSplit="8" ySplit="2" topLeftCell="K3" activePane="bottomRight" state="frozen"/>
      <selection pane="topLeft" activeCell="C1" sqref="C1"/>
      <selection pane="topRight" activeCell="J1" sqref="J1"/>
      <selection pane="bottomLeft" activeCell="C3" sqref="C3"/>
      <selection pane="bottomRight" activeCell="K7" sqref="K7"/>
    </sheetView>
  </sheetViews>
  <sheetFormatPr defaultColWidth="9.00390625" defaultRowHeight="12.75" outlineLevelCol="1"/>
  <cols>
    <col min="1" max="1" width="6.25390625" style="0" customWidth="1"/>
    <col min="2" max="2" width="6.875" style="0" customWidth="1"/>
    <col min="3" max="3" width="3.875" style="0" customWidth="1"/>
    <col min="4" max="4" width="15.125" style="0" customWidth="1"/>
    <col min="5" max="5" width="6.25390625" style="0" customWidth="1"/>
    <col min="6" max="6" width="9.625" style="0" customWidth="1" outlineLevel="1"/>
    <col min="7" max="7" width="8.875" style="0" customWidth="1" outlineLevel="1"/>
    <col min="8" max="8" width="10.25390625" style="0" customWidth="1" outlineLevel="1"/>
    <col min="9" max="9" width="6.625" style="0" customWidth="1" outlineLevel="1"/>
    <col min="10" max="10" width="9.00390625" style="0" customWidth="1" outlineLevel="1" collapsed="1"/>
    <col min="11" max="11" width="12.375" style="0" customWidth="1" outlineLevel="1"/>
    <col min="12" max="12" width="12.625" style="0" customWidth="1" outlineLevel="1"/>
    <col min="13" max="13" width="13.75390625" style="0" customWidth="1" outlineLevel="1"/>
    <col min="14" max="14" width="11.25390625" style="0" customWidth="1" outlineLevel="1"/>
    <col min="15" max="15" width="14.375" style="0" customWidth="1" outlineLevel="1"/>
    <col min="16" max="16" width="12.875" style="0" customWidth="1" outlineLevel="1"/>
    <col min="17" max="17" width="13.625" style="0" customWidth="1" outlineLevel="1"/>
    <col min="18" max="18" width="13.375" style="0" customWidth="1" outlineLevel="1"/>
    <col min="19" max="19" width="12.375" style="0" customWidth="1" outlineLevel="1"/>
    <col min="20" max="20" width="13.375" style="0" customWidth="1" outlineLevel="1"/>
    <col min="21" max="21" width="13.625" style="0" customWidth="1" outlineLevel="1"/>
    <col min="22" max="23" width="14.375" style="0" customWidth="1" outlineLevel="1"/>
    <col min="24" max="25" width="11.625" style="0" customWidth="1" outlineLevel="1"/>
    <col min="26" max="26" width="11.875" style="0" customWidth="1" outlineLevel="1"/>
    <col min="27" max="27" width="12.125" style="0" customWidth="1" outlineLevel="1"/>
    <col min="28" max="29" width="13.375" style="0" customWidth="1" outlineLevel="1"/>
    <col min="30" max="30" width="12.125" style="0" customWidth="1" outlineLevel="1"/>
    <col min="31" max="31" width="11.625" style="0" customWidth="1" outlineLevel="1"/>
    <col min="32" max="32" width="11.75390625" style="0" customWidth="1" outlineLevel="1"/>
    <col min="33" max="33" width="13.00390625" style="0" customWidth="1" outlineLevel="1"/>
    <col min="34" max="34" width="12.625" style="0" customWidth="1" outlineLevel="1"/>
    <col min="35" max="36" width="13.25390625" style="0" customWidth="1" outlineLevel="1"/>
    <col min="37" max="37" width="17.125" style="0" customWidth="1" outlineLevel="1"/>
    <col min="38" max="39" width="15.625" style="0" customWidth="1" outlineLevel="1"/>
    <col min="40" max="40" width="14.00390625" style="0" customWidth="1" outlineLevel="1"/>
    <col min="41" max="41" width="13.875" style="0" customWidth="1"/>
    <col min="42" max="42" width="13.75390625" style="0" customWidth="1"/>
    <col min="43" max="43" width="14.625" style="0" customWidth="1"/>
  </cols>
  <sheetData>
    <row r="1" spans="1:42" ht="21.75" customHeight="1">
      <c r="A1" s="1"/>
      <c r="B1" s="2"/>
      <c r="C1" s="109"/>
      <c r="E1" s="14" t="s">
        <v>335</v>
      </c>
      <c r="F1" s="14"/>
      <c r="G1" s="14"/>
      <c r="H1" s="14"/>
      <c r="I1" s="14"/>
      <c r="J1" s="2"/>
      <c r="K1" s="2"/>
      <c r="L1" s="1"/>
      <c r="M1" s="2"/>
      <c r="N1" s="2"/>
      <c r="O1" s="186"/>
      <c r="P1" s="186"/>
      <c r="Q1" s="2"/>
      <c r="R1" s="27"/>
      <c r="S1" s="27" t="s">
        <v>310</v>
      </c>
      <c r="T1" s="27"/>
      <c r="U1" s="12" t="s">
        <v>47</v>
      </c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32"/>
      <c r="AI1" s="13"/>
      <c r="AJ1" s="13"/>
      <c r="AK1" s="2"/>
      <c r="AL1" s="2"/>
      <c r="AM1" s="2"/>
      <c r="AN1" s="32"/>
      <c r="AO1" s="32"/>
      <c r="AP1" s="22"/>
    </row>
    <row r="2" spans="1:55" ht="76.5">
      <c r="A2" s="3" t="s">
        <v>72</v>
      </c>
      <c r="B2" s="3"/>
      <c r="C2" s="3"/>
      <c r="D2" s="63" t="s">
        <v>73</v>
      </c>
      <c r="E2" s="63" t="s">
        <v>74</v>
      </c>
      <c r="F2" s="63" t="s">
        <v>75</v>
      </c>
      <c r="G2" s="63" t="s">
        <v>76</v>
      </c>
      <c r="H2" s="122" t="s">
        <v>197</v>
      </c>
      <c r="I2" s="63"/>
      <c r="J2" s="63" t="s">
        <v>70</v>
      </c>
      <c r="K2" s="130" t="s">
        <v>336</v>
      </c>
      <c r="L2" s="7" t="s">
        <v>359</v>
      </c>
      <c r="M2" s="7" t="s">
        <v>360</v>
      </c>
      <c r="N2" s="7" t="s">
        <v>361</v>
      </c>
      <c r="O2" s="7" t="s">
        <v>362</v>
      </c>
      <c r="P2" s="7" t="s">
        <v>334</v>
      </c>
      <c r="Q2" s="5" t="s">
        <v>309</v>
      </c>
      <c r="R2" s="5" t="s">
        <v>356</v>
      </c>
      <c r="S2" s="5" t="s">
        <v>357</v>
      </c>
      <c r="T2" s="5" t="s">
        <v>358</v>
      </c>
      <c r="U2" s="8" t="s">
        <v>45</v>
      </c>
      <c r="V2" s="8" t="s">
        <v>183</v>
      </c>
      <c r="W2" s="8" t="s">
        <v>44</v>
      </c>
      <c r="X2" s="8" t="s">
        <v>78</v>
      </c>
      <c r="Y2" s="8" t="s">
        <v>77</v>
      </c>
      <c r="Z2" s="8" t="s">
        <v>48</v>
      </c>
      <c r="AA2" s="8" t="s">
        <v>42</v>
      </c>
      <c r="AB2" s="8" t="s">
        <v>207</v>
      </c>
      <c r="AC2" s="8" t="s">
        <v>208</v>
      </c>
      <c r="AD2" s="8" t="s">
        <v>206</v>
      </c>
      <c r="AE2" s="8" t="s">
        <v>46</v>
      </c>
      <c r="AF2" s="8" t="s">
        <v>317</v>
      </c>
      <c r="AG2" s="8" t="s">
        <v>84</v>
      </c>
      <c r="AH2" s="5" t="s">
        <v>69</v>
      </c>
      <c r="AI2" s="10" t="s">
        <v>123</v>
      </c>
      <c r="AJ2" s="10" t="s">
        <v>68</v>
      </c>
      <c r="AK2" s="10" t="s">
        <v>124</v>
      </c>
      <c r="AL2" s="10" t="s">
        <v>125</v>
      </c>
      <c r="AM2" s="10" t="s">
        <v>126</v>
      </c>
      <c r="AN2" s="5" t="s">
        <v>34</v>
      </c>
      <c r="AO2" s="5" t="s">
        <v>35</v>
      </c>
      <c r="AP2" s="127" t="s">
        <v>305</v>
      </c>
      <c r="BC2" s="4"/>
    </row>
    <row r="3" spans="2:42" ht="12.75">
      <c r="B3" s="4"/>
      <c r="C3" s="4"/>
      <c r="D3" s="64"/>
      <c r="E3" s="64"/>
      <c r="F3" s="64"/>
      <c r="G3" s="64"/>
      <c r="H3" s="64"/>
      <c r="I3" s="64"/>
      <c r="J3" s="64"/>
      <c r="K3" s="140"/>
      <c r="L3" s="65"/>
      <c r="M3" s="65"/>
      <c r="N3" s="65"/>
      <c r="O3" s="65"/>
      <c r="P3" s="65"/>
      <c r="Q3" s="6"/>
      <c r="R3" s="6"/>
      <c r="S3" s="6"/>
      <c r="T3" s="6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6"/>
      <c r="AI3" s="11"/>
      <c r="AJ3" s="11"/>
      <c r="AK3" s="11"/>
      <c r="AL3" s="11"/>
      <c r="AM3" s="11"/>
      <c r="AN3" s="6"/>
      <c r="AO3" s="6"/>
      <c r="AP3" s="4"/>
    </row>
    <row r="4" spans="2:43" ht="13.5" thickBot="1">
      <c r="B4" s="4"/>
      <c r="C4" s="145">
        <v>1</v>
      </c>
      <c r="D4" s="87" t="s">
        <v>12</v>
      </c>
      <c r="E4" s="66">
        <v>1</v>
      </c>
      <c r="F4" s="66" t="s">
        <v>65</v>
      </c>
      <c r="G4" s="67">
        <v>1972</v>
      </c>
      <c r="H4" s="68">
        <f>'[2]тариф начисл. 2019 с янв'!$I$11</f>
        <v>2661.8</v>
      </c>
      <c r="I4" s="69" t="s">
        <v>40</v>
      </c>
      <c r="J4" s="69">
        <v>20.88</v>
      </c>
      <c r="K4" s="141">
        <v>187861.97999999963</v>
      </c>
      <c r="L4" s="256">
        <f>'[5]УК+ООО'!$K$12</f>
        <v>660701.64</v>
      </c>
      <c r="M4" s="256">
        <f>'[5]УК+ООО'!$N$12</f>
        <v>645337.28</v>
      </c>
      <c r="N4" s="260" t="str">
        <f>'[5]УК+ООО'!$L$12</f>
        <v>-0,01</v>
      </c>
      <c r="O4" s="258">
        <f>K4+L4-M4+N4</f>
        <v>203226.3299999996</v>
      </c>
      <c r="P4" s="86"/>
      <c r="Q4" s="254">
        <f>2063.93+948.39+1553.48</f>
        <v>4565.799999999999</v>
      </c>
      <c r="R4" s="254">
        <f>17773.59+3251.61+4660.43</f>
        <v>25685.63</v>
      </c>
      <c r="S4" s="254">
        <f>13527.03+4606.4+5825.54</f>
        <v>23958.97</v>
      </c>
      <c r="T4" s="254">
        <f>Q4+R4-S4</f>
        <v>6292.459999999999</v>
      </c>
      <c r="U4" s="15">
        <f>'[3]тариф начисл. 2020 с янв'!$P$11</f>
        <v>2235.91</v>
      </c>
      <c r="V4" s="15">
        <f>'[4]тариф начисл. 2021 с янв'!$O$11+'[4]год'!$G$11</f>
        <v>37413.2</v>
      </c>
      <c r="W4" s="15">
        <f>'[3]тариф начисл. 2020 с янв'!$N$11</f>
        <v>195163.18</v>
      </c>
      <c r="X4" s="15"/>
      <c r="Y4" s="15"/>
      <c r="Z4" s="15">
        <f>'[3]тариф начисл. 2020 с янв'!$AC$11</f>
        <v>319.42</v>
      </c>
      <c r="AA4" s="15">
        <f>'[3]тариф начисл. 2020 с янв'!$AD$11+'[3]тариф начисл. 2020 с янв'!$AE$11</f>
        <v>30025.1</v>
      </c>
      <c r="AB4" s="15">
        <f>'[3]тариф начисл. 2020 с янв'!$AA$11</f>
        <v>1277.66</v>
      </c>
      <c r="AC4" s="15">
        <f>'[3]тариф начисл. 2020 с янв'!$AB$11+'[3]год'!$F$11</f>
        <v>1387.05</v>
      </c>
      <c r="AD4" s="15">
        <f>'[3]тариф начисл. 2020 с янв'!$Y$11+R4</f>
        <v>53794.240000000005</v>
      </c>
      <c r="AE4" s="15">
        <f>'[3]тариф начисл. 2020 с янв'!$V$11</f>
        <v>103490.78</v>
      </c>
      <c r="AF4" s="15"/>
      <c r="AG4" s="15">
        <f>'[3]тариф начисл. 2020 с янв'!$BA$11</f>
        <v>45995.9</v>
      </c>
      <c r="AH4" s="16">
        <f aca="true" t="shared" si="0" ref="AH4:AH28">SUM(U4:AG4)</f>
        <v>471102.43999999994</v>
      </c>
      <c r="AI4" s="261">
        <f>'[3]тариф начисл. 2020 с янв'!$AJ$11</f>
        <v>99338.38</v>
      </c>
      <c r="AJ4" s="261">
        <f>'[4]тариф начисл. 2021 с янв'!$AO$11+'[6]год'!$X$11</f>
        <v>66078.81</v>
      </c>
      <c r="AK4" s="261">
        <f>'[3]тариф начисл. 2020 с янв'!$AS$11</f>
        <v>30344.52</v>
      </c>
      <c r="AL4" s="261">
        <f>'[4]тариф начисл. 2021 с янв'!$AW$11</f>
        <v>26830.94</v>
      </c>
      <c r="AM4" s="261">
        <f>'[3]тариф начисл. 2020 с янв'!$AZ$11</f>
        <v>46634.74</v>
      </c>
      <c r="AN4" s="16">
        <f>SUM(AI4:AM4)</f>
        <v>269227.39</v>
      </c>
      <c r="AO4" s="16">
        <f aca="true" t="shared" si="1" ref="AO4:AO35">AH4+AN4</f>
        <v>740329.83</v>
      </c>
      <c r="AP4" s="250">
        <f>AO4-M4-S4</f>
        <v>71033.57999999993</v>
      </c>
      <c r="AQ4" s="22">
        <f>M4+S4</f>
        <v>669296.25</v>
      </c>
    </row>
    <row r="5" spans="1:43" ht="12.75">
      <c r="A5" s="4">
        <v>1</v>
      </c>
      <c r="B5" s="20">
        <v>1</v>
      </c>
      <c r="C5" s="144">
        <v>2</v>
      </c>
      <c r="D5" s="88" t="s">
        <v>12</v>
      </c>
      <c r="E5" s="71">
        <v>3</v>
      </c>
      <c r="F5" s="71" t="s">
        <v>33</v>
      </c>
      <c r="G5" s="71">
        <v>1972</v>
      </c>
      <c r="H5" s="68">
        <f>'[1]тариф начисл. 2018 с янв'!$I$12</f>
        <v>3087.6</v>
      </c>
      <c r="I5" s="69" t="s">
        <v>40</v>
      </c>
      <c r="J5" s="72">
        <v>20.88</v>
      </c>
      <c r="K5" s="141">
        <v>168477.99999999974</v>
      </c>
      <c r="L5" s="256">
        <f>'[5]УК+ООО'!$K$18</f>
        <v>762484.47</v>
      </c>
      <c r="M5" s="256">
        <f>'[5]УК+ООО'!$N$18</f>
        <v>778651.17</v>
      </c>
      <c r="N5" s="256">
        <v>0</v>
      </c>
      <c r="O5" s="258">
        <f aca="true" t="shared" si="2" ref="O5:O68">K5+L5-M5+N5</f>
        <v>152311.2999999997</v>
      </c>
      <c r="P5" s="86"/>
      <c r="Q5" s="254">
        <f>2416.88+25632.39+948.39+2219.48</f>
        <v>31217.14</v>
      </c>
      <c r="R5" s="254">
        <f>20813.03+11698.22+3251.61+6658.44</f>
        <v>42421.3</v>
      </c>
      <c r="S5" s="254">
        <f>1840.27+978.56+4606.45+8323.05</f>
        <v>15748.329999999998</v>
      </c>
      <c r="T5" s="254">
        <f aca="true" t="shared" si="3" ref="T5:T45">Q5+R5-S5</f>
        <v>57890.11</v>
      </c>
      <c r="U5" s="15">
        <f>'[2]тариф начисл. 2019 с янв'!$P$12</f>
        <v>2593.58</v>
      </c>
      <c r="V5" s="15">
        <f>'[4]тариф начисл. 2021 с янв'!$O$12+'[4]год'!$G$12</f>
        <v>23861.57</v>
      </c>
      <c r="W5" s="15">
        <f>'[2]тариф начисл. 2019 с янв'!$N$12</f>
        <v>226382.83</v>
      </c>
      <c r="X5" s="15"/>
      <c r="Y5" s="15"/>
      <c r="Z5" s="15">
        <f>'[2]тариф начисл. 2019 с янв'!$AC$12</f>
        <v>370.51</v>
      </c>
      <c r="AA5" s="15">
        <f>'[2]тариф начисл. 2019 с янв'!$AD$12+'[2]тариф начисл. 2019 с янв'!$AE$12</f>
        <v>34828.12</v>
      </c>
      <c r="AB5" s="15">
        <f>'[2]тариф начисл. 2019 с янв'!$AA$12</f>
        <v>1482.05</v>
      </c>
      <c r="AC5" s="15">
        <f>'[2]тариф начисл. 2019 с янв'!$AB$12+'[3]год'!$F$12</f>
        <v>1643.6799999999998</v>
      </c>
      <c r="AD5" s="15">
        <f>'[2]тариф начисл. 2019 с янв'!$Y$12+S5</f>
        <v>48353.39</v>
      </c>
      <c r="AE5" s="15">
        <f>'[2]тариф начисл. 2019 с янв'!$V$12</f>
        <v>120045.89</v>
      </c>
      <c r="AF5" s="15"/>
      <c r="AG5" s="15">
        <f>'[2]тариф начисл. 2019 с янв'!$BA$12</f>
        <v>53353.73</v>
      </c>
      <c r="AH5" s="16">
        <f t="shared" si="0"/>
        <v>512915.35</v>
      </c>
      <c r="AI5" s="261">
        <f>'[4]тариф начисл. 2021 с янв'!$AJ$12</f>
        <v>115229.23</v>
      </c>
      <c r="AJ5" s="261">
        <f>'[2]тариф начисл. 2019 с янв'!$AO$12</f>
        <v>60393.46</v>
      </c>
      <c r="AK5" s="261">
        <f>'[2]тариф начисл. 2019 с янв'!$AS$12+30000</f>
        <v>65198.64</v>
      </c>
      <c r="AL5" s="261">
        <f>'[2]тариф начисл. 2019 с янв'!$AW$12+15000</f>
        <v>46123.009999999995</v>
      </c>
      <c r="AM5" s="261">
        <f>'[2]тариф начисл. 2019 с янв'!$AZ$12</f>
        <v>54094.75</v>
      </c>
      <c r="AN5" s="16">
        <f aca="true" t="shared" si="4" ref="AN5:AN68">SUM(AI5:AM5)</f>
        <v>341039.09</v>
      </c>
      <c r="AO5" s="16">
        <f t="shared" si="1"/>
        <v>853954.44</v>
      </c>
      <c r="AP5" s="251">
        <f aca="true" t="shared" si="5" ref="AP5:AP68">AO5-M5-S5</f>
        <v>59554.9399999999</v>
      </c>
      <c r="AQ5" s="22">
        <f aca="true" t="shared" si="6" ref="AQ5:AQ68">M5+S5</f>
        <v>794399.5</v>
      </c>
    </row>
    <row r="6" spans="1:43" ht="12.75">
      <c r="A6" s="4">
        <v>2</v>
      </c>
      <c r="B6" s="21">
        <v>2</v>
      </c>
      <c r="C6" s="145">
        <v>3</v>
      </c>
      <c r="D6" s="84" t="s">
        <v>12</v>
      </c>
      <c r="E6" s="73">
        <v>5</v>
      </c>
      <c r="F6" s="73" t="s">
        <v>65</v>
      </c>
      <c r="G6" s="74">
        <v>1976</v>
      </c>
      <c r="H6" s="68">
        <f>'[2]тариф начисл. 2019 с янв'!$I$13</f>
        <v>2720.4</v>
      </c>
      <c r="I6" s="69" t="s">
        <v>40</v>
      </c>
      <c r="J6" s="69">
        <v>20.88</v>
      </c>
      <c r="K6" s="141">
        <v>172905.14999999967</v>
      </c>
      <c r="L6" s="256">
        <f>'[5]УК+ООО'!$K$20</f>
        <v>647622.5</v>
      </c>
      <c r="M6" s="256">
        <f>'[5]УК+ООО'!$N$20</f>
        <v>680082.18</v>
      </c>
      <c r="N6" s="256">
        <v>0</v>
      </c>
      <c r="O6" s="258">
        <f t="shared" si="2"/>
        <v>140445.46999999962</v>
      </c>
      <c r="P6" s="86"/>
      <c r="Q6" s="254">
        <f>948.39+1553.48+7930.97</f>
        <v>10432.84</v>
      </c>
      <c r="R6" s="254">
        <f>17811.2+3251.61+4660.43+38475.71</f>
        <v>64198.95</v>
      </c>
      <c r="S6" s="254">
        <f>17232.01+4606.45+5825.54+40969.39</f>
        <v>68633.39</v>
      </c>
      <c r="T6" s="254">
        <f t="shared" si="3"/>
        <v>5998.399999999994</v>
      </c>
      <c r="U6" s="15">
        <f>'[2]тариф начисл. 2019 с янв'!$P$13</f>
        <v>2285.14</v>
      </c>
      <c r="V6" s="15">
        <f>'[2]тариф начисл. 2019 с янв'!$O$13+'[2]авг'!$F$13</f>
        <v>14630.15</v>
      </c>
      <c r="W6" s="15">
        <f>'[2]тариф начисл. 2019 с янв'!$N$13</f>
        <v>199459.73</v>
      </c>
      <c r="X6" s="15"/>
      <c r="Y6" s="15"/>
      <c r="Z6" s="15">
        <f>'[2]тариф начисл. 2019 с янв'!$AC$13</f>
        <v>326.45</v>
      </c>
      <c r="AA6" s="15">
        <f>'[2]тариф начисл. 2019 с янв'!$AD$13+'[2]тариф начисл. 2019 с янв'!$AE$13</f>
        <v>30686.12</v>
      </c>
      <c r="AB6" s="15">
        <f>'[2]тариф начисл. 2019 с янв'!$AA$13</f>
        <v>1305.79</v>
      </c>
      <c r="AC6" s="15">
        <f>'[3]тариф начисл. 2020 с янв'!$AB$13+'[3]год'!$F$13</f>
        <v>2039.6599999999999</v>
      </c>
      <c r="AD6" s="15">
        <f>'[2]тариф начисл. 2019 с янв'!$Y$13+35000</f>
        <v>63727.42</v>
      </c>
      <c r="AE6" s="15">
        <f>'[2]тариф начисл. 2019 с янв'!$V$13</f>
        <v>105769.15</v>
      </c>
      <c r="AF6" s="15"/>
      <c r="AG6" s="15">
        <f>'[2]тариф начисл. 2019 с янв'!$BA$13</f>
        <v>47008.51</v>
      </c>
      <c r="AH6" s="16">
        <f t="shared" si="0"/>
        <v>467238.12</v>
      </c>
      <c r="AI6" s="261">
        <f>'[4]тариф начисл. 2021 с янв'!$AJ$13+'[4]год'!$R$13</f>
        <v>101765.33</v>
      </c>
      <c r="AJ6" s="261">
        <f>'[4]тариф начисл. 2021 с янв'!$AO$13</f>
        <v>53211.02</v>
      </c>
      <c r="AK6" s="261">
        <f>'[2]тариф начисл. 2019 с янв'!$AS$13+35000</f>
        <v>66012.56</v>
      </c>
      <c r="AL6" s="261">
        <f>'[2]тариф начисл. 2019 с янв'!$AW$13+20000</f>
        <v>47421.630000000005</v>
      </c>
      <c r="AM6" s="261">
        <f>'[2]тариф начисл. 2019 с янв'!$AZ$13+10000</f>
        <v>57661.41</v>
      </c>
      <c r="AN6" s="16">
        <f t="shared" si="4"/>
        <v>326071.95000000007</v>
      </c>
      <c r="AO6" s="16">
        <f t="shared" si="1"/>
        <v>793310.0700000001</v>
      </c>
      <c r="AP6" s="251">
        <f t="shared" si="5"/>
        <v>44594.500000000015</v>
      </c>
      <c r="AQ6" s="22">
        <f t="shared" si="6"/>
        <v>748715.5700000001</v>
      </c>
    </row>
    <row r="7" spans="1:43" ht="12.75">
      <c r="A7" s="4">
        <v>3</v>
      </c>
      <c r="B7" s="21">
        <v>3</v>
      </c>
      <c r="C7" s="145">
        <v>4</v>
      </c>
      <c r="D7" s="84" t="s">
        <v>12</v>
      </c>
      <c r="E7" s="73">
        <v>7</v>
      </c>
      <c r="F7" s="73" t="s">
        <v>65</v>
      </c>
      <c r="G7" s="74">
        <v>1974</v>
      </c>
      <c r="H7" s="68">
        <f>'[1]тариф начисл. 2018 с янв'!$H$14</f>
        <v>2697.1</v>
      </c>
      <c r="I7" s="69" t="s">
        <v>40</v>
      </c>
      <c r="J7" s="72">
        <v>20.88</v>
      </c>
      <c r="K7" s="141">
        <v>196720.84000000008</v>
      </c>
      <c r="L7" s="256">
        <f>'[5]УК+ООО'!$K$22</f>
        <v>675784.92</v>
      </c>
      <c r="M7" s="256">
        <f>'[5]УК+ООО'!$N$22</f>
        <v>694719.84</v>
      </c>
      <c r="N7" s="256">
        <v>0</v>
      </c>
      <c r="O7" s="258">
        <f t="shared" si="2"/>
        <v>177785.92000000016</v>
      </c>
      <c r="P7" s="86"/>
      <c r="Q7" s="254">
        <f>948.39+1553.48</f>
        <v>2501.87</v>
      </c>
      <c r="R7" s="254">
        <f>18593.8+3251.61+4660.43</f>
        <v>26505.84</v>
      </c>
      <c r="S7" s="254">
        <f>17989.18+4606.45+5825.54</f>
        <v>28421.170000000002</v>
      </c>
      <c r="T7" s="254">
        <f t="shared" si="3"/>
        <v>586.5399999999972</v>
      </c>
      <c r="U7" s="15">
        <f>'[2]тариф начисл. 2019 с янв'!$P$14</f>
        <v>2265.56</v>
      </c>
      <c r="V7" s="15">
        <f>'[2]тариф начисл. 2019 с янв'!$O$14+'[2]авг'!$F$14</f>
        <v>41714.31999999999</v>
      </c>
      <c r="W7" s="15">
        <f>'[2]тариф начисл. 2019 с янв'!$N$14</f>
        <v>197751.37</v>
      </c>
      <c r="X7" s="15"/>
      <c r="Y7" s="15"/>
      <c r="Z7" s="15">
        <f>'[2]тариф начисл. 2019 с янв'!$AC$14</f>
        <v>323.65</v>
      </c>
      <c r="AA7" s="15">
        <f>'[2]тариф начисл. 2019 с янв'!$AD$14+'[2]тариф начисл. 2019 с янв'!$AE$14</f>
        <v>30423.28</v>
      </c>
      <c r="AB7" s="15">
        <f>'[2]тариф начисл. 2019 с янв'!$AA$14</f>
        <v>1294.61</v>
      </c>
      <c r="AC7" s="15">
        <f>'[3]тариф начисл. 2020 с янв'!$AB$14+'[3]год'!$F$14</f>
        <v>1935.2800000000002</v>
      </c>
      <c r="AD7" s="15">
        <f>'[2]тариф начисл. 2019 с янв'!$Y$14+S7</f>
        <v>56902.55</v>
      </c>
      <c r="AE7" s="15">
        <f>'[2]тариф начисл. 2019 с янв'!$V$14</f>
        <v>104863.25</v>
      </c>
      <c r="AF7" s="15"/>
      <c r="AG7" s="15">
        <f>'[2]тариф начисл. 2019 с янв'!$BA$14</f>
        <v>46605.89</v>
      </c>
      <c r="AH7" s="16">
        <f t="shared" si="0"/>
        <v>484079.76</v>
      </c>
      <c r="AI7" s="261">
        <f>'[2]тариф начисл. 2019 с янв'!$AJ$14</f>
        <v>100655.77</v>
      </c>
      <c r="AJ7" s="261">
        <f>'[2]тариф начисл. 2019 с янв'!$AO$14</f>
        <v>52755.28</v>
      </c>
      <c r="AK7" s="261">
        <f>'[2]тариф начисл. 2019 с янв'!$AS$14+15000</f>
        <v>45746.94</v>
      </c>
      <c r="AL7" s="261">
        <f>'[2]тариф начисл. 2019 с янв'!$AW$14+5000</f>
        <v>32186.77</v>
      </c>
      <c r="AM7" s="261">
        <f>'[2]тариф начисл. 2019 с янв'!$AZ$14</f>
        <v>47253.19</v>
      </c>
      <c r="AN7" s="16">
        <f t="shared" si="4"/>
        <v>278597.94999999995</v>
      </c>
      <c r="AO7" s="16">
        <f t="shared" si="1"/>
        <v>762677.71</v>
      </c>
      <c r="AP7" s="250">
        <f t="shared" si="5"/>
        <v>39536.7</v>
      </c>
      <c r="AQ7" s="22">
        <f t="shared" si="6"/>
        <v>723141.01</v>
      </c>
    </row>
    <row r="8" spans="1:43" ht="12.75">
      <c r="A8" s="4">
        <v>4</v>
      </c>
      <c r="B8" s="20">
        <v>4</v>
      </c>
      <c r="C8" s="144">
        <v>5</v>
      </c>
      <c r="D8" s="84" t="s">
        <v>12</v>
      </c>
      <c r="E8" s="73">
        <v>9</v>
      </c>
      <c r="F8" s="73" t="s">
        <v>65</v>
      </c>
      <c r="G8" s="74">
        <v>1974</v>
      </c>
      <c r="H8" s="68">
        <f>'[1]тариф начисл. 2018 с янв'!$I$15</f>
        <v>2730</v>
      </c>
      <c r="I8" s="69" t="s">
        <v>40</v>
      </c>
      <c r="J8" s="69">
        <v>20.88</v>
      </c>
      <c r="K8" s="141">
        <v>213296.92000000016</v>
      </c>
      <c r="L8" s="256">
        <f>'[5]УК+ООО'!$K$23</f>
        <v>673317.33</v>
      </c>
      <c r="M8" s="256">
        <f>'[5]УК+ООО'!$N$23</f>
        <v>657665.48</v>
      </c>
      <c r="N8" s="256">
        <v>0</v>
      </c>
      <c r="O8" s="258">
        <f t="shared" si="2"/>
        <v>228948.77000000014</v>
      </c>
      <c r="P8" s="86"/>
      <c r="Q8" s="254">
        <f>948.39+1553.48+8146</f>
        <v>10647.869999999999</v>
      </c>
      <c r="R8" s="254">
        <f>3251.61+4660.43+20170.09</f>
        <v>28082.13</v>
      </c>
      <c r="S8" s="254">
        <f>4606.45+5825.54+28109.95</f>
        <v>38541.94</v>
      </c>
      <c r="T8" s="254">
        <f t="shared" si="3"/>
        <v>188.05999999999767</v>
      </c>
      <c r="U8" s="15">
        <f>'[2]тариф начисл. 2019 с янв'!$P$15</f>
        <v>2293.2</v>
      </c>
      <c r="V8" s="15">
        <f>'[2]тариф начисл. 2019 с янв'!$O$15+'[2]авг'!$F$15</f>
        <v>52594.86</v>
      </c>
      <c r="W8" s="15">
        <f>'[2]тариф начисл. 2019 с янв'!$N$15</f>
        <v>200163.6</v>
      </c>
      <c r="X8" s="15"/>
      <c r="Y8" s="15"/>
      <c r="Z8" s="15">
        <f>'[2]тариф начисл. 2019 с янв'!$AC$15</f>
        <v>327.6</v>
      </c>
      <c r="AA8" s="15">
        <f>'[2]тариф начисл. 2019 с янв'!$AD$15+'[2]тариф начисл. 2019 с янв'!$AE$15</f>
        <v>30794.4</v>
      </c>
      <c r="AB8" s="15">
        <f>'[2]тариф начисл. 2019 с янв'!$AA$15</f>
        <v>1310.4</v>
      </c>
      <c r="AC8" s="15">
        <f>'[3]тариф начисл. 2020 с янв'!$AB$15+'[3]год'!$F$15</f>
        <v>2341.6499999999996</v>
      </c>
      <c r="AD8" s="15">
        <f>'[2]тариф начисл. 2019 с янв'!$Y$15</f>
        <v>28828.8</v>
      </c>
      <c r="AE8" s="15">
        <f>'[2]тариф начисл. 2019 с янв'!$V$15</f>
        <v>106142.4</v>
      </c>
      <c r="AF8" s="15"/>
      <c r="AG8" s="15">
        <f>'[2]тариф начисл. 2019 с янв'!$BA$15</f>
        <v>47174.4</v>
      </c>
      <c r="AH8" s="16">
        <f t="shared" si="0"/>
        <v>471971.31000000006</v>
      </c>
      <c r="AI8" s="261">
        <f>'[2]тариф начисл. 2019 с янв'!$AJ$15</f>
        <v>101883.6</v>
      </c>
      <c r="AJ8" s="261">
        <f>'[2]тариф начисл. 2019 с янв'!$AO$15</f>
        <v>53398.8</v>
      </c>
      <c r="AK8" s="261">
        <f>'[2]тариф начисл. 2019 с янв'!$AS$15</f>
        <v>31122</v>
      </c>
      <c r="AL8" s="261">
        <f>'[2]тариф начисл. 2019 с янв'!$AW$15</f>
        <v>27518.4</v>
      </c>
      <c r="AM8" s="261">
        <f>'[2]тариф начисл. 2019 с янв'!$AZ$15</f>
        <v>47829.6</v>
      </c>
      <c r="AN8" s="16">
        <f t="shared" si="4"/>
        <v>261752.40000000002</v>
      </c>
      <c r="AO8" s="16">
        <f t="shared" si="1"/>
        <v>733723.7100000001</v>
      </c>
      <c r="AP8" s="245">
        <f t="shared" si="5"/>
        <v>37516.290000000095</v>
      </c>
      <c r="AQ8" s="22">
        <f t="shared" si="6"/>
        <v>696207.4199999999</v>
      </c>
    </row>
    <row r="9" spans="1:43" ht="12.75">
      <c r="A9" s="4">
        <v>5</v>
      </c>
      <c r="B9" s="21">
        <v>5</v>
      </c>
      <c r="C9" s="145">
        <v>6</v>
      </c>
      <c r="D9" s="84" t="s">
        <v>12</v>
      </c>
      <c r="E9" s="73">
        <v>11</v>
      </c>
      <c r="F9" s="73" t="s">
        <v>65</v>
      </c>
      <c r="G9" s="74">
        <v>1974</v>
      </c>
      <c r="H9" s="68">
        <f>'[1]тариф начисл. 2018 с янв'!$I$16</f>
        <v>2689.6</v>
      </c>
      <c r="I9" s="69" t="s">
        <v>40</v>
      </c>
      <c r="J9" s="72">
        <v>20.88</v>
      </c>
      <c r="K9" s="141">
        <v>238643.11999999988</v>
      </c>
      <c r="L9" s="256">
        <f>'[5]УК+ООО'!$K$13</f>
        <v>674106.6</v>
      </c>
      <c r="M9" s="256">
        <f>'[5]УК+ООО'!$N$13</f>
        <v>657811.72</v>
      </c>
      <c r="N9" s="256">
        <v>0</v>
      </c>
      <c r="O9" s="258">
        <f t="shared" si="2"/>
        <v>254937.99999999988</v>
      </c>
      <c r="P9" s="86"/>
      <c r="Q9" s="254">
        <f>948.39+1553.48</f>
        <v>2501.87</v>
      </c>
      <c r="R9" s="254">
        <f>3251.61+4660.43</f>
        <v>7912.040000000001</v>
      </c>
      <c r="S9" s="254">
        <f>4606.45+5825.54</f>
        <v>10431.99</v>
      </c>
      <c r="T9" s="254">
        <f t="shared" si="3"/>
        <v>-18.079999999999927</v>
      </c>
      <c r="U9" s="15">
        <f>'[2]тариф начисл. 2019 с янв'!$P$16</f>
        <v>2259.26</v>
      </c>
      <c r="V9" s="15">
        <f>'[2]тариф начисл. 2019 с янв'!$O$16+'[2]авг'!$F$16</f>
        <v>27315.129999999997</v>
      </c>
      <c r="W9" s="15">
        <f>'[2]тариф начисл. 2019 с янв'!$N$16</f>
        <v>197201.47</v>
      </c>
      <c r="X9" s="15"/>
      <c r="Y9" s="15"/>
      <c r="Z9" s="15">
        <f>'[2]тариф начисл. 2019 с янв'!$AC$16</f>
        <v>322.75</v>
      </c>
      <c r="AA9" s="15">
        <f>'[2]тариф начисл. 2019 с янв'!$AD$16+'[2]тариф начисл. 2019 с янв'!$AE$16</f>
        <v>30338.68</v>
      </c>
      <c r="AB9" s="15">
        <f>'[2]тариф начисл. 2019 с янв'!$AA$16</f>
        <v>1291.01</v>
      </c>
      <c r="AC9" s="15">
        <f>'[2]тариф начисл. 2019 с янв'!$AB$16+'[3]год'!$F$16</f>
        <v>1953.79</v>
      </c>
      <c r="AD9" s="15">
        <f>'[2]тариф начисл. 2019 с янв'!$Y$16+S9</f>
        <v>38834.17</v>
      </c>
      <c r="AE9" s="15">
        <f>'[2]тариф начисл. 2019 с янв'!$V$16</f>
        <v>104571.65</v>
      </c>
      <c r="AF9" s="15"/>
      <c r="AG9" s="15">
        <f>'[2]тариф начисл. 2019 с янв'!$BA$16</f>
        <v>46476.29</v>
      </c>
      <c r="AH9" s="16">
        <f t="shared" si="0"/>
        <v>450564.2</v>
      </c>
      <c r="AI9" s="261">
        <f>'[2]тариф начисл. 2019 с янв'!$AJ$16</f>
        <v>100375.87</v>
      </c>
      <c r="AJ9" s="261">
        <f>'[2]тариф начисл. 2019 с янв'!$AO$16</f>
        <v>52608.58</v>
      </c>
      <c r="AK9" s="261">
        <f>'[2]тариф начисл. 2019 с янв'!$AS$16</f>
        <v>30661.44</v>
      </c>
      <c r="AL9" s="261">
        <f>'[2]тариф начисл. 2019 с янв'!$AW$16</f>
        <v>27111.17</v>
      </c>
      <c r="AM9" s="261">
        <f>'[2]тариф начисл. 2019 с янв'!$AZ$16</f>
        <v>47121.79</v>
      </c>
      <c r="AN9" s="16">
        <f t="shared" si="4"/>
        <v>257878.85</v>
      </c>
      <c r="AO9" s="16">
        <f t="shared" si="1"/>
        <v>708443.05</v>
      </c>
      <c r="AP9" s="245">
        <f t="shared" si="5"/>
        <v>40199.34000000008</v>
      </c>
      <c r="AQ9" s="22">
        <f t="shared" si="6"/>
        <v>668243.71</v>
      </c>
    </row>
    <row r="10" spans="1:43" ht="12.75">
      <c r="A10" s="4">
        <v>6</v>
      </c>
      <c r="B10" s="21">
        <v>6</v>
      </c>
      <c r="C10" s="145">
        <v>7</v>
      </c>
      <c r="D10" s="84" t="s">
        <v>12</v>
      </c>
      <c r="E10" s="73">
        <v>13</v>
      </c>
      <c r="F10" s="73" t="s">
        <v>65</v>
      </c>
      <c r="G10" s="74">
        <v>1974</v>
      </c>
      <c r="H10" s="68">
        <f>'[2]тариф начисл. 2019 с янв'!$I$17</f>
        <v>2720.1</v>
      </c>
      <c r="I10" s="69" t="s">
        <v>40</v>
      </c>
      <c r="J10" s="69">
        <v>20.88</v>
      </c>
      <c r="K10" s="141">
        <v>91064.32999999996</v>
      </c>
      <c r="L10" s="256">
        <f>'[5]УК+ООО'!$K$15</f>
        <v>666186.96</v>
      </c>
      <c r="M10" s="256">
        <f>'[5]УК+ООО'!$N$15</f>
        <v>656114.63</v>
      </c>
      <c r="N10" s="256">
        <v>0</v>
      </c>
      <c r="O10" s="258">
        <f t="shared" si="2"/>
        <v>101136.65999999992</v>
      </c>
      <c r="P10" s="86"/>
      <c r="Q10" s="254">
        <f>948+1553.48</f>
        <v>2501.48</v>
      </c>
      <c r="R10" s="254">
        <f>61995.02+3251.61+4660.43</f>
        <v>69907.06</v>
      </c>
      <c r="S10" s="254">
        <f>61995.02+4606.45+5825.54</f>
        <v>72427.01</v>
      </c>
      <c r="T10" s="254">
        <f t="shared" si="3"/>
        <v>-18.470000000001164</v>
      </c>
      <c r="U10" s="15">
        <f>'[2]тариф начисл. 2019 с янв'!$P$17</f>
        <v>2284.88</v>
      </c>
      <c r="V10" s="15">
        <f>'[2]тариф начисл. 2019 с янв'!$O$17+'[2]авг'!$F$17</f>
        <v>47998.69</v>
      </c>
      <c r="W10" s="15">
        <f>'[2]тариф начисл. 2019 с янв'!$N$17</f>
        <v>199437.73</v>
      </c>
      <c r="X10" s="15"/>
      <c r="Y10" s="15"/>
      <c r="Z10" s="15">
        <f>'[2]тариф начисл. 2019 с янв'!$AC$17</f>
        <v>326.41</v>
      </c>
      <c r="AA10" s="15">
        <f>'[2]тариф начисл. 2019 с янв'!$AD$17+'[2]тариф начисл. 2019 с янв'!$AE$17</f>
        <v>30682.72</v>
      </c>
      <c r="AB10" s="15">
        <f>'[2]тариф начисл. 2019 с янв'!$AA$17</f>
        <v>1305.65</v>
      </c>
      <c r="AC10" s="15">
        <f>'[3]тариф начисл. 2020 с янв'!$AB$17+'[3]год'!$F$17</f>
        <v>1755.6599999999999</v>
      </c>
      <c r="AD10" s="15">
        <f>'[2]тариф начисл. 2019 с янв'!$Y$17+15000</f>
        <v>43724.259999999995</v>
      </c>
      <c r="AE10" s="15">
        <f>'[2]тариф начисл. 2019 с янв'!$V$17</f>
        <v>105757.49</v>
      </c>
      <c r="AF10" s="15"/>
      <c r="AG10" s="15">
        <f>'[2]тариф начисл. 2019 с янв'!$BA$17</f>
        <v>47003.33</v>
      </c>
      <c r="AH10" s="16">
        <f t="shared" si="0"/>
        <v>480276.82000000007</v>
      </c>
      <c r="AI10" s="261">
        <f>'[4]тариф начисл. 2021 с янв'!$AJ$17+'[4]год'!$R$17</f>
        <v>102114.13</v>
      </c>
      <c r="AJ10" s="261">
        <f>'[4]тариф начисл. 2021 с янв'!$AO$17</f>
        <v>53205.16</v>
      </c>
      <c r="AK10" s="261">
        <f>'[2]тариф начисл. 2019 с янв'!$AS$17+15000</f>
        <v>46009.14</v>
      </c>
      <c r="AL10" s="261">
        <f>'[2]тариф начисл. 2019 с янв'!$AW$17+10000</f>
        <v>37418.61</v>
      </c>
      <c r="AM10" s="261">
        <f>'[4]тариф начисл. 2021 с янв'!$AZ$17</f>
        <v>47656.15</v>
      </c>
      <c r="AN10" s="16">
        <f t="shared" si="4"/>
        <v>286403.19</v>
      </c>
      <c r="AO10" s="16">
        <f t="shared" si="1"/>
        <v>766680.01</v>
      </c>
      <c r="AP10" s="250">
        <f t="shared" si="5"/>
        <v>38138.37000000001</v>
      </c>
      <c r="AQ10" s="22">
        <f t="shared" si="6"/>
        <v>728541.64</v>
      </c>
    </row>
    <row r="11" spans="1:43" ht="12.75">
      <c r="A11" s="4">
        <v>7</v>
      </c>
      <c r="B11" s="20">
        <v>7</v>
      </c>
      <c r="C11" s="144">
        <v>8</v>
      </c>
      <c r="D11" s="84" t="s">
        <v>12</v>
      </c>
      <c r="E11" s="73">
        <v>17</v>
      </c>
      <c r="F11" s="73" t="s">
        <v>65</v>
      </c>
      <c r="G11" s="74">
        <v>1975</v>
      </c>
      <c r="H11" s="68">
        <f>'[2]тариф начисл. 2019 с янв'!$I$18</f>
        <v>5358</v>
      </c>
      <c r="I11" s="69" t="s">
        <v>40</v>
      </c>
      <c r="J11" s="72">
        <v>20.88</v>
      </c>
      <c r="K11" s="141">
        <v>443004.4600000004</v>
      </c>
      <c r="L11" s="256">
        <f>'[5]УК+ООО'!$K$16</f>
        <v>1311606.84</v>
      </c>
      <c r="M11" s="256">
        <f>'[5]УК+ООО'!$N$16</f>
        <v>1307554.98</v>
      </c>
      <c r="N11" s="256">
        <v>0</v>
      </c>
      <c r="O11" s="258">
        <f t="shared" si="2"/>
        <v>447056.32000000053</v>
      </c>
      <c r="P11" s="86"/>
      <c r="Q11" s="254">
        <f>-1266.11</f>
        <v>-1266.11</v>
      </c>
      <c r="R11" s="254">
        <f>21902.31+42665.98</f>
        <v>64568.29000000001</v>
      </c>
      <c r="S11" s="254">
        <f>20636.2+42665.98</f>
        <v>63302.18000000001</v>
      </c>
      <c r="T11" s="254">
        <f t="shared" si="3"/>
        <v>0</v>
      </c>
      <c r="U11" s="15">
        <f>'[2]тариф начисл. 2019 с янв'!$P$18</f>
        <v>4500.72</v>
      </c>
      <c r="V11" s="15">
        <f>'[2]тариф начисл. 2019 с янв'!$O$18+'[2]авг'!$F$18</f>
        <v>21570.42</v>
      </c>
      <c r="W11" s="15">
        <f>'[2]тариф начисл. 2019 с янв'!$N$18</f>
        <v>392848.56</v>
      </c>
      <c r="X11" s="15"/>
      <c r="Y11" s="15"/>
      <c r="Z11" s="15">
        <f>'[2]тариф начисл. 2019 с янв'!$AC$18</f>
        <v>642.96</v>
      </c>
      <c r="AA11" s="15">
        <f>'[2]тариф начисл. 2019 с янв'!$AD$18+'[2]тариф начисл. 2019 с янв'!$AE$18</f>
        <v>60438.24</v>
      </c>
      <c r="AB11" s="15">
        <f>'[2]тариф начисл. 2019 с янв'!$AA$18</f>
        <v>2571.84</v>
      </c>
      <c r="AC11" s="15">
        <f>'[3]тариф начисл. 2020 с янв'!$AB$18+'[3]год'!$F$18</f>
        <v>3799.8900000000003</v>
      </c>
      <c r="AD11" s="15">
        <f>'[2]тариф начисл. 2019 с янв'!$Y$18</f>
        <v>56580.48</v>
      </c>
      <c r="AE11" s="15">
        <f>'[2]тариф начисл. 2019 с янв'!$V$18</f>
        <v>208319.04</v>
      </c>
      <c r="AF11" s="15"/>
      <c r="AG11" s="15">
        <f>'[2]тариф начисл. 2019 с янв'!$BA$18</f>
        <v>92586.24</v>
      </c>
      <c r="AH11" s="16">
        <f t="shared" si="0"/>
        <v>843858.3900000001</v>
      </c>
      <c r="AI11" s="261">
        <f>'[3]тариф начисл. 2020 с янв'!$AJ$18</f>
        <v>199960.56</v>
      </c>
      <c r="AJ11" s="261">
        <f>'[2]тариф начисл. 2019 с янв'!$AO$18</f>
        <v>104802.48</v>
      </c>
      <c r="AK11" s="261">
        <f>'[2]тариф начисл. 2019 с янв'!$AS$18+30000</f>
        <v>91081.2</v>
      </c>
      <c r="AL11" s="261">
        <f>'[2]тариф начисл. 2019 с янв'!$AW$18+20000</f>
        <v>74008.64</v>
      </c>
      <c r="AM11" s="261">
        <f>'[4]тариф начисл. 2021 с янв'!$AZ$18</f>
        <v>93872.16</v>
      </c>
      <c r="AN11" s="16">
        <f t="shared" si="4"/>
        <v>563725.04</v>
      </c>
      <c r="AO11" s="16">
        <f t="shared" si="1"/>
        <v>1407583.4300000002</v>
      </c>
      <c r="AP11" s="251">
        <f t="shared" si="5"/>
        <v>36726.27000000018</v>
      </c>
      <c r="AQ11" s="22">
        <f t="shared" si="6"/>
        <v>1370857.16</v>
      </c>
    </row>
    <row r="12" spans="1:43" ht="12.75">
      <c r="A12" s="4">
        <v>8</v>
      </c>
      <c r="B12" s="21">
        <v>8</v>
      </c>
      <c r="C12" s="145">
        <v>9</v>
      </c>
      <c r="D12" s="84" t="s">
        <v>12</v>
      </c>
      <c r="E12" s="73" t="s">
        <v>17</v>
      </c>
      <c r="F12" s="73" t="s">
        <v>65</v>
      </c>
      <c r="G12" s="74">
        <v>1976</v>
      </c>
      <c r="H12" s="68">
        <f>'[1]тариф начисл. 2018 с янв'!$I$19</f>
        <v>2711.4</v>
      </c>
      <c r="I12" s="69" t="s">
        <v>40</v>
      </c>
      <c r="J12" s="69">
        <v>20.88</v>
      </c>
      <c r="K12" s="141">
        <v>82657.82999999984</v>
      </c>
      <c r="L12" s="256">
        <f>'[5]УК+ООО'!$K$14</f>
        <v>679368.6</v>
      </c>
      <c r="M12" s="256">
        <f>'[5]УК+ООО'!$N$14</f>
        <v>644002.27</v>
      </c>
      <c r="N12" s="256">
        <v>0</v>
      </c>
      <c r="O12" s="258">
        <f t="shared" si="2"/>
        <v>118024.1599999998</v>
      </c>
      <c r="P12" s="86"/>
      <c r="Q12" s="254">
        <f>948.39+1553.48</f>
        <v>2501.87</v>
      </c>
      <c r="R12" s="254">
        <f>3251.61+4660.43</f>
        <v>7912.040000000001</v>
      </c>
      <c r="S12" s="254">
        <f>4606.45+5825.54</f>
        <v>10431.99</v>
      </c>
      <c r="T12" s="254">
        <f t="shared" si="3"/>
        <v>-18.079999999999927</v>
      </c>
      <c r="U12" s="15">
        <f>'[2]тариф начисл. 2019 с янв'!$P$19</f>
        <v>2277.58</v>
      </c>
      <c r="V12" s="15">
        <f>'[2]тариф начисл. 2019 с янв'!$O$19+'[2]авг'!$F$19</f>
        <v>56590.159999999996</v>
      </c>
      <c r="W12" s="15">
        <f>'[2]тариф начисл. 2019 с янв'!$N$19</f>
        <v>198799.85</v>
      </c>
      <c r="X12" s="15"/>
      <c r="Y12" s="15"/>
      <c r="Z12" s="15">
        <f>'[2]тариф начисл. 2019 с янв'!$AC$19</f>
        <v>325.37</v>
      </c>
      <c r="AA12" s="15">
        <f>'[2]тариф начисл. 2019 с янв'!$AD$19+'[2]тариф начисл. 2019 с янв'!$AE$19</f>
        <v>30584.6</v>
      </c>
      <c r="AB12" s="15">
        <f>'[2]тариф начисл. 2019 с янв'!$AA$19</f>
        <v>1301.47</v>
      </c>
      <c r="AC12" s="15">
        <f>'[2]тариф начисл. 2019 с янв'!$AB$19+'[3]год'!$F$19</f>
        <v>1945.56</v>
      </c>
      <c r="AD12" s="15">
        <f>'[2]тариф начисл. 2019 с янв'!$Y$19</f>
        <v>28632.38</v>
      </c>
      <c r="AE12" s="15">
        <f>'[2]тариф начисл. 2019 с янв'!$V$19</f>
        <v>105419.23</v>
      </c>
      <c r="AF12" s="15"/>
      <c r="AG12" s="15">
        <f>'[2]тариф начисл. 2019 с янв'!$BA$19</f>
        <v>46852.99</v>
      </c>
      <c r="AH12" s="16">
        <f t="shared" si="0"/>
        <v>472729.18999999994</v>
      </c>
      <c r="AI12" s="261">
        <f>'[2]тариф начисл. 2019 с янв'!$AJ$19</f>
        <v>101189.45</v>
      </c>
      <c r="AJ12" s="261">
        <f>'[2]тариф начисл. 2019 с янв'!$AO$19</f>
        <v>53034.98</v>
      </c>
      <c r="AK12" s="261">
        <f>'[2]тариф начисл. 2019 с янв'!$AS$19</f>
        <v>30909.96</v>
      </c>
      <c r="AL12" s="261">
        <f>'[2]тариф начисл. 2019 с янв'!$AW$19</f>
        <v>27330.91</v>
      </c>
      <c r="AM12" s="261">
        <f>'[2]тариф начисл. 2019 с янв'!$AZ$19</f>
        <v>47503.73</v>
      </c>
      <c r="AN12" s="16">
        <f t="shared" si="4"/>
        <v>259969.03</v>
      </c>
      <c r="AO12" s="16">
        <f t="shared" si="1"/>
        <v>732698.22</v>
      </c>
      <c r="AP12" s="245">
        <f t="shared" si="5"/>
        <v>78263.95999999995</v>
      </c>
      <c r="AQ12" s="22">
        <f t="shared" si="6"/>
        <v>654434.26</v>
      </c>
    </row>
    <row r="13" spans="1:43" ht="12.75">
      <c r="A13" s="4">
        <v>9</v>
      </c>
      <c r="B13" s="21">
        <v>9</v>
      </c>
      <c r="C13" s="145">
        <v>10</v>
      </c>
      <c r="D13" s="84" t="s">
        <v>12</v>
      </c>
      <c r="E13" s="73" t="s">
        <v>18</v>
      </c>
      <c r="F13" s="73" t="s">
        <v>65</v>
      </c>
      <c r="G13" s="74">
        <v>1976</v>
      </c>
      <c r="H13" s="68">
        <f>'[1]тариф начисл. 2018 с янв'!$I$20</f>
        <v>2741.2</v>
      </c>
      <c r="I13" s="69" t="s">
        <v>40</v>
      </c>
      <c r="J13" s="75">
        <v>22.28</v>
      </c>
      <c r="K13" s="142">
        <v>190095.6</v>
      </c>
      <c r="L13" s="256">
        <f>'[5]УК+ООО'!$K$17</f>
        <v>732887.16</v>
      </c>
      <c r="M13" s="256">
        <f>'[5]УК+ООО'!$N$17</f>
        <v>677781.41</v>
      </c>
      <c r="N13" s="256">
        <v>0</v>
      </c>
      <c r="O13" s="258">
        <f t="shared" si="2"/>
        <v>245201.34999999998</v>
      </c>
      <c r="P13" s="86"/>
      <c r="Q13" s="254">
        <f>948.39+1553.48</f>
        <v>2501.87</v>
      </c>
      <c r="R13" s="254">
        <f>3251.61+4660.43</f>
        <v>7912.040000000001</v>
      </c>
      <c r="S13" s="254">
        <f>4606.45+5825.54</f>
        <v>10431.99</v>
      </c>
      <c r="T13" s="254">
        <f t="shared" si="3"/>
        <v>-18.079999999999927</v>
      </c>
      <c r="U13" s="15">
        <f>'[2]тариф начисл. 2019 с янв'!$P$20</f>
        <v>2302.61</v>
      </c>
      <c r="V13" s="15">
        <f>'[2]тариф начисл. 2019 с янв'!$O$20+'[2]авг'!$F$20</f>
        <v>41239.57000000001</v>
      </c>
      <c r="W13" s="15">
        <f>'[2]тариф начисл. 2019 с янв'!$N$20</f>
        <v>200984.78</v>
      </c>
      <c r="X13" s="15"/>
      <c r="Y13" s="15"/>
      <c r="Z13" s="15">
        <f>'[2]тариф начисл. 2019 с янв'!$AC$20</f>
        <v>328.94</v>
      </c>
      <c r="AA13" s="15">
        <f>'[2]тариф начисл. 2019 с янв'!$AD$20+'[2]тариф начисл. 2019 с янв'!$AE$20</f>
        <v>30920.74</v>
      </c>
      <c r="AB13" s="15">
        <f>'[2]тариф начисл. 2019 с янв'!$AA$20</f>
        <v>1315.78</v>
      </c>
      <c r="AC13" s="15">
        <f>'[3]тариф начисл. 2020 с янв'!$AB$20+'[3]год'!$F$20</f>
        <v>1852.99</v>
      </c>
      <c r="AD13" s="15">
        <f>'[2]тариф начисл. 2019 с янв'!$Y$20</f>
        <v>28947.07</v>
      </c>
      <c r="AE13" s="15">
        <f>'[2]тариф начисл. 2019 с янв'!$V$20</f>
        <v>106577.86</v>
      </c>
      <c r="AF13" s="15"/>
      <c r="AG13" s="15">
        <f>'[2]тариф начисл. 2019 с янв'!$BA$20</f>
        <v>47367.94</v>
      </c>
      <c r="AH13" s="16">
        <f t="shared" si="0"/>
        <v>461838.28</v>
      </c>
      <c r="AI13" s="261">
        <f>'[3]тариф начисл. 2020 с янв'!$AJ$20</f>
        <v>102301.58</v>
      </c>
      <c r="AJ13" s="261">
        <f>'[4]тариф начисл. 2021 с янв'!$AO$20</f>
        <v>53617.87</v>
      </c>
      <c r="AK13" s="261">
        <f>'[2]тариф начисл. 2019 с янв'!$AS$20</f>
        <v>31249.68</v>
      </c>
      <c r="AL13" s="261">
        <f>'[2]тариф начисл. 2019 с янв'!$AW$20</f>
        <v>27960.24</v>
      </c>
      <c r="AM13" s="261">
        <f>'[2]тариф начисл. 2019 с янв'!$AZ$20</f>
        <v>48025.82</v>
      </c>
      <c r="AN13" s="16">
        <f t="shared" si="4"/>
        <v>263155.19</v>
      </c>
      <c r="AO13" s="16">
        <f t="shared" si="1"/>
        <v>724993.47</v>
      </c>
      <c r="AP13" s="251">
        <f t="shared" si="5"/>
        <v>36780.06999999994</v>
      </c>
      <c r="AQ13" s="22">
        <f t="shared" si="6"/>
        <v>688213.4</v>
      </c>
    </row>
    <row r="14" spans="1:43" ht="12.75">
      <c r="A14" s="4">
        <v>10</v>
      </c>
      <c r="B14" s="20">
        <v>10</v>
      </c>
      <c r="C14" s="144">
        <v>11</v>
      </c>
      <c r="D14" s="84" t="s">
        <v>12</v>
      </c>
      <c r="E14" s="73" t="s">
        <v>19</v>
      </c>
      <c r="F14" s="74" t="s">
        <v>32</v>
      </c>
      <c r="G14" s="73">
        <v>1994</v>
      </c>
      <c r="H14" s="68">
        <f>'[1]тариф начисл. 2018 с янв'!$I$21</f>
        <v>1843.3</v>
      </c>
      <c r="I14" s="69" t="s">
        <v>40</v>
      </c>
      <c r="J14" s="75">
        <v>21.73</v>
      </c>
      <c r="K14" s="142">
        <v>36319.33999999991</v>
      </c>
      <c r="L14" s="256">
        <f>'[5]УК+ООО'!$K$19</f>
        <v>374868.84</v>
      </c>
      <c r="M14" s="256">
        <f>'[5]УК+ООО'!$N$19</f>
        <v>366839.08</v>
      </c>
      <c r="N14" s="256">
        <v>0</v>
      </c>
      <c r="O14" s="258">
        <f t="shared" si="2"/>
        <v>44349.09999999992</v>
      </c>
      <c r="P14" s="86"/>
      <c r="Q14" s="254">
        <f>1125.31+15359.95+53094.18</f>
        <v>69579.44</v>
      </c>
      <c r="R14" s="254">
        <f>9690.64+21128.54+93699.6</f>
        <v>124518.78</v>
      </c>
      <c r="S14" s="254">
        <f>7375.3+19588.33+0</f>
        <v>26963.63</v>
      </c>
      <c r="T14" s="254">
        <f t="shared" si="3"/>
        <v>167134.59</v>
      </c>
      <c r="U14" s="15">
        <f>'[2]тариф начисл. 2019 с янв'!$P$21</f>
        <v>1548.37</v>
      </c>
      <c r="V14" s="15">
        <f>'[2]тариф начисл. 2019 с янв'!$O$21+'[2]авг'!$F$21</f>
        <v>19861.7</v>
      </c>
      <c r="W14" s="15">
        <f>'[2]тариф начисл. 2019 с янв'!$N$21</f>
        <v>135150.76</v>
      </c>
      <c r="X14" s="15"/>
      <c r="Y14" s="15"/>
      <c r="Z14" s="15">
        <f>'[2]тариф начисл. 2019 с янв'!$AC$21</f>
        <v>221.2</v>
      </c>
      <c r="AA14" s="15">
        <f>'[2]тариф начисл. 2019 с янв'!$AD$21+'[2]тариф начисл. 2019 с янв'!$AE$21</f>
        <v>20792.42</v>
      </c>
      <c r="AB14" s="15">
        <f>'[2]тариф начисл. 2019 с янв'!$AA$21</f>
        <v>884.78</v>
      </c>
      <c r="AC14" s="15">
        <f>'[2]тариф начисл. 2019 с янв'!$AB$21+'[3]год'!$F$21</f>
        <v>1370.47</v>
      </c>
      <c r="AD14" s="15">
        <f>'[2]тариф начисл. 2019 с янв'!$Y$21</f>
        <v>19465.25</v>
      </c>
      <c r="AE14" s="15">
        <f>'[2]тариф начисл. 2019 с янв'!$V$21</f>
        <v>71667.5</v>
      </c>
      <c r="AF14" s="15"/>
      <c r="AG14" s="15">
        <f>'[2]тариф начисл. 2019 с янв'!$BA$21</f>
        <v>31852.22</v>
      </c>
      <c r="AH14" s="16">
        <f t="shared" si="0"/>
        <v>302814.67000000004</v>
      </c>
      <c r="AI14" s="261">
        <f>'[4]тариф начисл. 2021 с янв'!$AJ$21</f>
        <v>68791.96</v>
      </c>
      <c r="AJ14" s="261">
        <f>'[2]тариф начисл. 2019 с янв'!$AO$21</f>
        <v>36054.95</v>
      </c>
      <c r="AK14" s="261">
        <f>'[2]тариф начисл. 2019 с янв'!$AS$21</f>
        <v>39594.08</v>
      </c>
      <c r="AL14" s="261">
        <f>'[2]тариф начисл. 2019 с янв'!$AW$21</f>
        <v>18801.66</v>
      </c>
      <c r="AM14" s="261">
        <f>'[2]тариф начисл. 2019 с янв'!$AZ$21</f>
        <v>32294.62</v>
      </c>
      <c r="AN14" s="16">
        <f t="shared" si="4"/>
        <v>195537.27</v>
      </c>
      <c r="AO14" s="16">
        <f t="shared" si="1"/>
        <v>498351.94000000006</v>
      </c>
      <c r="AP14" s="251">
        <f t="shared" si="5"/>
        <v>104549.23000000004</v>
      </c>
      <c r="AQ14" s="22">
        <f t="shared" si="6"/>
        <v>393802.71</v>
      </c>
    </row>
    <row r="15" spans="1:43" ht="12.75">
      <c r="A15" s="4">
        <v>11</v>
      </c>
      <c r="B15" s="21">
        <v>11</v>
      </c>
      <c r="C15" s="145">
        <v>12</v>
      </c>
      <c r="D15" s="84" t="s">
        <v>12</v>
      </c>
      <c r="E15" s="73" t="s">
        <v>16</v>
      </c>
      <c r="F15" s="73" t="s">
        <v>65</v>
      </c>
      <c r="G15" s="74">
        <v>1974</v>
      </c>
      <c r="H15" s="68">
        <v>2694.9</v>
      </c>
      <c r="I15" s="69" t="s">
        <v>40</v>
      </c>
      <c r="J15" s="75">
        <v>20.88</v>
      </c>
      <c r="K15" s="142">
        <v>146227.30999999994</v>
      </c>
      <c r="L15" s="256">
        <f>'[5]УК+ООО'!$K$21</f>
        <v>675250.52</v>
      </c>
      <c r="M15" s="256">
        <f>'[5]УК+ООО'!$N$21</f>
        <v>627025.66</v>
      </c>
      <c r="N15" s="256">
        <v>0</v>
      </c>
      <c r="O15" s="258">
        <f t="shared" si="2"/>
        <v>194452.16999999993</v>
      </c>
      <c r="P15" s="86"/>
      <c r="Q15" s="254">
        <f>948.39+1553.48</f>
        <v>2501.87</v>
      </c>
      <c r="R15" s="254">
        <f>18582.1+3251.61+4660.43</f>
        <v>26494.14</v>
      </c>
      <c r="S15" s="254">
        <f>17977.83+4606.45+5825.54</f>
        <v>28409.820000000003</v>
      </c>
      <c r="T15" s="254">
        <f t="shared" si="3"/>
        <v>586.189999999995</v>
      </c>
      <c r="U15" s="15">
        <f>'[2]тариф начисл. 2019 с янв'!$P$22</f>
        <v>2263.72</v>
      </c>
      <c r="V15" s="15">
        <f>'[2]тариф начисл. 2019 с янв'!$O$22+'[2]авг'!$F$22</f>
        <v>128670.37999999999</v>
      </c>
      <c r="W15" s="15">
        <f>'[2]тариф начисл. 2019 с янв'!$N$22</f>
        <v>197590.07</v>
      </c>
      <c r="X15" s="15"/>
      <c r="Y15" s="15"/>
      <c r="Z15" s="15">
        <f>'[2]тариф начисл. 2019 с янв'!$AC$22</f>
        <v>323.39</v>
      </c>
      <c r="AA15" s="15">
        <f>'[2]тариф начисл. 2019 с янв'!$AD$22+'[2]тариф начисл. 2019 с янв'!$AE$22</f>
        <v>30398.48</v>
      </c>
      <c r="AB15" s="15">
        <f>'[2]тариф начисл. 2019 с янв'!$AA$22</f>
        <v>1293.55</v>
      </c>
      <c r="AC15" s="15">
        <f>'[2]тариф начисл. 2019 с янв'!$AB$22+'[3]год'!$F$22</f>
        <v>2604.23</v>
      </c>
      <c r="AD15" s="15">
        <f>'[2]тариф начисл. 2019 с янв'!$Y$22</f>
        <v>28458.14</v>
      </c>
      <c r="AE15" s="15">
        <f>'[2]тариф начисл. 2019 с янв'!$V$22</f>
        <v>104777.71</v>
      </c>
      <c r="AF15" s="15"/>
      <c r="AG15" s="15">
        <f>'[2]тариф начисл. 2019 с янв'!$BA$22</f>
        <v>46567.87</v>
      </c>
      <c r="AH15" s="16">
        <f t="shared" si="0"/>
        <v>542947.54</v>
      </c>
      <c r="AI15" s="261">
        <f>'[4]тариф начисл. 2021 с янв'!$AJ$22+'[4]год'!$R$22</f>
        <v>111538.67</v>
      </c>
      <c r="AJ15" s="261">
        <f>'[2]тариф начисл. 2019 с янв'!$AO$22</f>
        <v>52712.24</v>
      </c>
      <c r="AK15" s="261">
        <f>'[2]тариф начисл. 2019 с янв'!$AS$22</f>
        <v>30721.86</v>
      </c>
      <c r="AL15" s="261">
        <f>'[2]тариф начисл. 2019 с янв'!$AW$22</f>
        <v>27164.59</v>
      </c>
      <c r="AM15" s="261">
        <f>'[2]тариф начисл. 2019 с янв'!$AZ$22</f>
        <v>47214.65</v>
      </c>
      <c r="AN15" s="16">
        <f t="shared" si="4"/>
        <v>269352.01</v>
      </c>
      <c r="AO15" s="16">
        <f t="shared" si="1"/>
        <v>812299.55</v>
      </c>
      <c r="AP15" s="245">
        <f t="shared" si="5"/>
        <v>156864.07</v>
      </c>
      <c r="AQ15" s="22">
        <f t="shared" si="6"/>
        <v>655435.48</v>
      </c>
    </row>
    <row r="16" spans="1:43" ht="12.75">
      <c r="A16" s="4"/>
      <c r="B16" s="20"/>
      <c r="C16" s="145">
        <v>13</v>
      </c>
      <c r="D16" s="84" t="s">
        <v>93</v>
      </c>
      <c r="E16" s="73">
        <v>27</v>
      </c>
      <c r="F16" s="73" t="s">
        <v>65</v>
      </c>
      <c r="G16" s="74">
        <v>1979</v>
      </c>
      <c r="H16" s="68">
        <f>'[1]тариф начисл. 2018 с янв'!$I$74</f>
        <v>4327.2</v>
      </c>
      <c r="I16" s="69" t="s">
        <v>40</v>
      </c>
      <c r="J16" s="72">
        <v>20.88</v>
      </c>
      <c r="K16" s="141">
        <v>165190.09000000008</v>
      </c>
      <c r="L16" s="256">
        <f>'[5]УК+ООО'!$K$97</f>
        <v>1084123.56</v>
      </c>
      <c r="M16" s="256">
        <f>'[5]УК+ООО'!$N$97</f>
        <v>1059606.93</v>
      </c>
      <c r="N16" s="256">
        <v>0</v>
      </c>
      <c r="O16" s="258">
        <f t="shared" si="2"/>
        <v>189706.7200000002</v>
      </c>
      <c r="P16" s="86"/>
      <c r="Q16" s="254">
        <v>14981.28</v>
      </c>
      <c r="R16" s="254">
        <v>92596.16</v>
      </c>
      <c r="S16" s="254">
        <v>83518.52</v>
      </c>
      <c r="T16" s="254">
        <f t="shared" si="3"/>
        <v>24058.92</v>
      </c>
      <c r="U16" s="15">
        <f>'[2]тариф начисл. 2019 с янв'!$P$75</f>
        <v>3634.85</v>
      </c>
      <c r="V16" s="15">
        <f>'[2]тариф начисл. 2019 с янв'!$O$75+'[2]авг'!$F$75</f>
        <v>54857.74</v>
      </c>
      <c r="W16" s="15">
        <f>'[2]тариф начисл. 2019 с янв'!$N$75</f>
        <v>317270.3</v>
      </c>
      <c r="X16" s="15"/>
      <c r="Y16" s="15"/>
      <c r="Z16" s="15">
        <f>'[2]тариф начисл. 2019 с янв'!$AC$75</f>
        <v>519.26</v>
      </c>
      <c r="AA16" s="15">
        <f>'[2]тариф начисл. 2019 с янв'!$AD$75+'[2]тариф начисл. 2019 с янв'!$AE$75</f>
        <v>48810.82</v>
      </c>
      <c r="AB16" s="15">
        <f>'[2]тариф начисл. 2019 с янв'!$AA$75</f>
        <v>2077.06</v>
      </c>
      <c r="AC16" s="15">
        <f>'[2]тариф начисл. 2019 с янв'!$AB$75+'[3]год'!$F$75</f>
        <v>3263.5699999999997</v>
      </c>
      <c r="AD16" s="15">
        <f>'[2]тариф начисл. 2019 с янв'!$Y$75+R16</f>
        <v>138291.39</v>
      </c>
      <c r="AE16" s="15">
        <f>'[2]тариф начисл. 2019 с янв'!$V$75</f>
        <v>168241.54</v>
      </c>
      <c r="AF16" s="15"/>
      <c r="AG16" s="15">
        <f>'[2]тариф начисл. 2019 с янв'!$BA$75</f>
        <v>74774.02</v>
      </c>
      <c r="AH16" s="16">
        <f t="shared" si="0"/>
        <v>811740.55</v>
      </c>
      <c r="AI16" s="261">
        <f>'[3]тариф начисл. 2020 с янв'!$AJ$75</f>
        <v>161491.1</v>
      </c>
      <c r="AJ16" s="261">
        <f>'[2]тариф начисл. 2019 с янв'!$AO$75</f>
        <v>84640.03</v>
      </c>
      <c r="AK16" s="261">
        <f>'[2]тариф начисл. 2019 с янв'!$AS$75</f>
        <v>49330.08</v>
      </c>
      <c r="AL16" s="261">
        <f>'[2]тариф начисл. 2019 с янв'!$AW$75</f>
        <v>43618.18</v>
      </c>
      <c r="AM16" s="261">
        <f>'[2]тариф начисл. 2019 с янв'!$AZ$75</f>
        <v>75812.54</v>
      </c>
      <c r="AN16" s="16">
        <f t="shared" si="4"/>
        <v>414891.93</v>
      </c>
      <c r="AO16" s="16">
        <f t="shared" si="1"/>
        <v>1226632.48</v>
      </c>
      <c r="AP16" s="251">
        <f t="shared" si="5"/>
        <v>83507.03000000004</v>
      </c>
      <c r="AQ16" s="22">
        <f t="shared" si="6"/>
        <v>1143125.45</v>
      </c>
    </row>
    <row r="17" spans="1:43" ht="12.75">
      <c r="A17" s="4">
        <v>13</v>
      </c>
      <c r="B17" s="31">
        <v>13</v>
      </c>
      <c r="C17" s="144">
        <v>14</v>
      </c>
      <c r="D17" s="84" t="s">
        <v>8</v>
      </c>
      <c r="E17" s="73">
        <v>12</v>
      </c>
      <c r="F17" s="73" t="s">
        <v>65</v>
      </c>
      <c r="G17" s="74">
        <v>1971</v>
      </c>
      <c r="H17" s="68">
        <f>'[1]тариф начисл. 2018 с янв'!$I$23</f>
        <v>4410.6</v>
      </c>
      <c r="I17" s="85" t="s">
        <v>40</v>
      </c>
      <c r="J17" s="72">
        <v>19.28</v>
      </c>
      <c r="K17" s="141">
        <v>175569.96000000008</v>
      </c>
      <c r="L17" s="256">
        <f>'[5]УК+ООО'!$K$37</f>
        <v>1020436.68</v>
      </c>
      <c r="M17" s="256">
        <f>'[5]УК+ООО'!$N$37</f>
        <v>995357.78</v>
      </c>
      <c r="N17" s="256">
        <v>0</v>
      </c>
      <c r="O17" s="258">
        <f t="shared" si="2"/>
        <v>200648.8600000001</v>
      </c>
      <c r="P17" s="86"/>
      <c r="Q17" s="254">
        <f>3452.88-948.39+2219.48</f>
        <v>4723.97</v>
      </c>
      <c r="R17" s="254">
        <f>29734.54+3251.61+6658.44</f>
        <v>39644.590000000004</v>
      </c>
      <c r="S17" s="254">
        <f>22630.2+4606.45+8325.05</f>
        <v>35561.7</v>
      </c>
      <c r="T17" s="254">
        <f t="shared" si="3"/>
        <v>8806.860000000008</v>
      </c>
      <c r="U17" s="15">
        <f>'[2]тариф начисл. 2019 с янв'!$P$23</f>
        <v>3704.9</v>
      </c>
      <c r="V17" s="15">
        <f>'[2]тариф начисл. 2019 с янв'!$O$23+'[2]авг'!$F$23</f>
        <v>42917.86</v>
      </c>
      <c r="W17" s="15">
        <f>'[2]тариф начисл. 2019 с янв'!$N$23</f>
        <v>305919.22</v>
      </c>
      <c r="X17" s="15"/>
      <c r="Y17" s="15"/>
      <c r="Z17" s="15">
        <f>'[2]тариф начисл. 2019 с янв'!$AC$23</f>
        <v>529.27</v>
      </c>
      <c r="AA17" s="15">
        <f>'[2]тариф начисл. 2019 с янв'!$AD$23++'[2]тариф начисл. 2019 с янв'!$AE$23</f>
        <v>49751.56</v>
      </c>
      <c r="AB17" s="15">
        <f>'[2]тариф начисл. 2019 с янв'!$AA$23</f>
        <v>2117.09</v>
      </c>
      <c r="AC17" s="15">
        <f>'[3]тариф начисл. 2020 с янв'!$AB$23+'[3]год'!$F$23</f>
        <v>2259.6099999999997</v>
      </c>
      <c r="AD17" s="15">
        <f>'[2]тариф начисл. 2019 с янв'!$Y$23</f>
        <v>46575.94</v>
      </c>
      <c r="AE17" s="15">
        <f>'[2]тариф начисл. 2019 с янв'!$V$23</f>
        <v>109030.03</v>
      </c>
      <c r="AF17" s="15"/>
      <c r="AG17" s="15">
        <f>'[2]тариф начисл. 2019 с янв'!$BA$23</f>
        <v>76215.17</v>
      </c>
      <c r="AH17" s="16">
        <f t="shared" si="0"/>
        <v>639020.65</v>
      </c>
      <c r="AI17" s="261">
        <f>'[4]тариф начисл. 2021 с янв'!$AJ$23+'[4]год'!$Q$23</f>
        <v>172576.59</v>
      </c>
      <c r="AJ17" s="261">
        <f>'[2]тариф начисл. 2019 с янв'!$AO$23</f>
        <v>86271.34</v>
      </c>
      <c r="AK17" s="261">
        <f>'[2]тариф начисл. 2019 с янв'!$AS$23</f>
        <v>45517.39</v>
      </c>
      <c r="AL17" s="261">
        <f>'[2]тариф начисл. 2019 с янв'!$AW$23</f>
        <v>44458.85</v>
      </c>
      <c r="AM17" s="261">
        <f>'[2]тариф начисл. 2019 с янв'!$AZ$23</f>
        <v>77273.71</v>
      </c>
      <c r="AN17" s="16">
        <f t="shared" si="4"/>
        <v>426097.88</v>
      </c>
      <c r="AO17" s="16">
        <f t="shared" si="1"/>
        <v>1065118.53</v>
      </c>
      <c r="AP17" s="246">
        <f t="shared" si="5"/>
        <v>34199.05</v>
      </c>
      <c r="AQ17" s="22">
        <f t="shared" si="6"/>
        <v>1030919.48</v>
      </c>
    </row>
    <row r="18" spans="1:43" ht="12.75">
      <c r="A18" s="4"/>
      <c r="B18" s="31"/>
      <c r="C18" s="145"/>
      <c r="D18" s="84" t="s">
        <v>8</v>
      </c>
      <c r="E18" s="83" t="s">
        <v>115</v>
      </c>
      <c r="F18" s="83" t="s">
        <v>120</v>
      </c>
      <c r="G18" s="74">
        <v>2010</v>
      </c>
      <c r="H18" s="68">
        <f>'[2]тариф начисл. 2019 с янв'!$I$24</f>
        <v>7314.6</v>
      </c>
      <c r="I18" s="85" t="s">
        <v>114</v>
      </c>
      <c r="J18" s="69">
        <v>27.27</v>
      </c>
      <c r="K18" s="141"/>
      <c r="L18" s="70"/>
      <c r="M18" s="70"/>
      <c r="N18" s="70"/>
      <c r="O18" s="258">
        <f t="shared" si="2"/>
        <v>0</v>
      </c>
      <c r="P18" s="86"/>
      <c r="Q18" s="16"/>
      <c r="R18" s="16"/>
      <c r="S18" s="16"/>
      <c r="T18" s="1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7"/>
      <c r="AJ18" s="17"/>
      <c r="AK18" s="17"/>
      <c r="AL18" s="261"/>
      <c r="AM18" s="261"/>
      <c r="AN18" s="16"/>
      <c r="AO18" s="16"/>
      <c r="AP18" s="250"/>
      <c r="AQ18" s="22"/>
    </row>
    <row r="19" spans="1:43" ht="12.75">
      <c r="A19" s="4">
        <v>14</v>
      </c>
      <c r="B19" s="30">
        <v>14</v>
      </c>
      <c r="C19" s="145">
        <v>15</v>
      </c>
      <c r="D19" s="84" t="s">
        <v>8</v>
      </c>
      <c r="E19" s="73">
        <v>14</v>
      </c>
      <c r="F19" s="73" t="s">
        <v>65</v>
      </c>
      <c r="G19" s="74">
        <v>1969</v>
      </c>
      <c r="H19" s="68">
        <f>'[1]тариф начисл. 2018 с янв'!$I$25</f>
        <v>4341.5</v>
      </c>
      <c r="I19" s="69" t="s">
        <v>40</v>
      </c>
      <c r="J19" s="75">
        <v>20.88</v>
      </c>
      <c r="K19" s="142">
        <v>149280.18999999983</v>
      </c>
      <c r="L19" s="256">
        <f>'[5]УК+ООО'!$K$38</f>
        <v>1087851.86</v>
      </c>
      <c r="M19" s="256">
        <f>'[5]УК+ООО'!$N$38</f>
        <v>1071450.71</v>
      </c>
      <c r="N19" s="256">
        <v>0</v>
      </c>
      <c r="O19" s="258">
        <f t="shared" si="2"/>
        <v>165681.33999999985</v>
      </c>
      <c r="P19" s="86"/>
      <c r="Q19" s="254">
        <v>2219.48</v>
      </c>
      <c r="R19" s="254">
        <v>6658.44</v>
      </c>
      <c r="S19" s="254">
        <v>8323.05</v>
      </c>
      <c r="T19" s="254">
        <f t="shared" si="3"/>
        <v>554.8700000000008</v>
      </c>
      <c r="U19" s="15">
        <f>'[2]тариф начисл. 2019 с янв'!$P$25</f>
        <v>3646.86</v>
      </c>
      <c r="V19" s="15">
        <f>'[2]тариф начисл. 2019 с янв'!$O$25+'[2]авг'!$F$25</f>
        <v>60168.659999999996</v>
      </c>
      <c r="W19" s="15">
        <f>'[2]тариф начисл. 2019 с янв'!$N$25</f>
        <v>318318.78</v>
      </c>
      <c r="X19" s="15"/>
      <c r="Y19" s="15"/>
      <c r="Z19" s="15">
        <f>'[2]тариф начисл. 2019 с янв'!$AC$25</f>
        <v>520.98</v>
      </c>
      <c r="AA19" s="15">
        <f>'[2]тариф начисл. 2019 с янв'!$AD$25+'[2]тариф начисл. 2019 с янв'!$AE$25</f>
        <v>48972.12</v>
      </c>
      <c r="AB19" s="15">
        <f>'[2]тариф начисл. 2019 с янв'!$AA$25</f>
        <v>2083.92</v>
      </c>
      <c r="AC19" s="15">
        <f>'[3]тариф начисл. 2020 с янв'!$AB$25+'[3]год'!$F$25</f>
        <v>3559.26</v>
      </c>
      <c r="AD19" s="15">
        <f>'[2]тариф начисл. 2019 с янв'!$Y$25</f>
        <v>45846.24</v>
      </c>
      <c r="AE19" s="15">
        <f>'[2]тариф начисл. 2019 с янв'!$V$25</f>
        <v>168797.52</v>
      </c>
      <c r="AF19" s="15"/>
      <c r="AG19" s="15">
        <f>'[2]тариф начисл. 2019 с янв'!$BA$25</f>
        <v>75021.12</v>
      </c>
      <c r="AH19" s="16">
        <f t="shared" si="0"/>
        <v>726935.46</v>
      </c>
      <c r="AI19" s="261">
        <f>'[4]тариф начисл. 2021 с янв'!$AJ$24</f>
        <v>162024.78</v>
      </c>
      <c r="AJ19" s="261">
        <f>'[2]тариф начисл. 2019 с янв'!$AO$25</f>
        <v>84919.74</v>
      </c>
      <c r="AK19" s="261">
        <f>'[2]тариф начисл. 2019 с янв'!$AS$25</f>
        <v>49493.1</v>
      </c>
      <c r="AL19" s="261">
        <f>'[2]тариф начисл. 2019 с янв'!$AW$25</f>
        <v>43762.32</v>
      </c>
      <c r="AM19" s="261">
        <f>'[2]тариф начисл. 2019 с янв'!$AZ$25</f>
        <v>76063.08</v>
      </c>
      <c r="AN19" s="16">
        <f t="shared" si="4"/>
        <v>416263.02</v>
      </c>
      <c r="AO19" s="16">
        <f t="shared" si="1"/>
        <v>1143198.48</v>
      </c>
      <c r="AP19" s="245">
        <f t="shared" si="5"/>
        <v>63424.720000000016</v>
      </c>
      <c r="AQ19" s="22">
        <f t="shared" si="6"/>
        <v>1079773.76</v>
      </c>
    </row>
    <row r="20" spans="1:43" ht="12.75">
      <c r="A20" s="4">
        <v>15</v>
      </c>
      <c r="B20" s="30">
        <v>15</v>
      </c>
      <c r="C20" s="144">
        <v>16</v>
      </c>
      <c r="D20" s="84" t="s">
        <v>8</v>
      </c>
      <c r="E20" s="73">
        <v>16</v>
      </c>
      <c r="F20" s="73" t="s">
        <v>65</v>
      </c>
      <c r="G20" s="74">
        <v>1969</v>
      </c>
      <c r="H20" s="68">
        <f>'[1]тариф начисл. 2018 с янв'!$I$26</f>
        <v>2698.6</v>
      </c>
      <c r="I20" s="69" t="s">
        <v>40</v>
      </c>
      <c r="J20" s="75">
        <v>20.88</v>
      </c>
      <c r="K20" s="142">
        <v>302198.72</v>
      </c>
      <c r="L20" s="256">
        <f>'[5]УК+ООО'!$K$40</f>
        <v>660776.88</v>
      </c>
      <c r="M20" s="256">
        <f>'[5]УК+ООО'!$N$40</f>
        <v>611145.51</v>
      </c>
      <c r="N20" s="256">
        <v>0</v>
      </c>
      <c r="O20" s="258">
        <f t="shared" si="2"/>
        <v>351830.08999999997</v>
      </c>
      <c r="P20" s="86"/>
      <c r="Q20" s="254">
        <f>4645.59+2219.48</f>
        <v>6865.07</v>
      </c>
      <c r="R20" s="254">
        <f>827.68+16170.76+27003.76+6658.14</f>
        <v>50660.34</v>
      </c>
      <c r="S20" s="254">
        <f>827.68+14857.74+27003.76+8323.05</f>
        <v>51012.229999999996</v>
      </c>
      <c r="T20" s="254">
        <f t="shared" si="3"/>
        <v>6513.18</v>
      </c>
      <c r="U20" s="15">
        <f>'[2]тариф начисл. 2019 с янв'!$P$26</f>
        <v>2266.82</v>
      </c>
      <c r="V20" s="15">
        <f>'[2]тариф начисл. 2019 с янв'!$O$26+'[2]авг'!$F$26</f>
        <v>51618.64</v>
      </c>
      <c r="W20" s="15">
        <f>'[2]тариф начисл. 2019 с янв'!$N$26</f>
        <v>197861.35</v>
      </c>
      <c r="X20" s="15"/>
      <c r="Y20" s="15"/>
      <c r="Z20" s="15">
        <f>'[2]тариф начисл. 2019 с янв'!$AC$26</f>
        <v>323.83</v>
      </c>
      <c r="AA20" s="15">
        <f>'[2]тариф начисл. 2019 с янв'!$AD$26+'[2]тариф начисл. 2019 с янв'!$AE$26</f>
        <v>30440.2</v>
      </c>
      <c r="AB20" s="15">
        <f>'[2]тариф начисл. 2019 с янв'!$AA$26</f>
        <v>1295.33</v>
      </c>
      <c r="AC20" s="15">
        <f>'[2]тариф начисл. 2019 с янв'!$AB$26+'[3]год'!$F$26</f>
        <v>2962.41</v>
      </c>
      <c r="AD20" s="15">
        <f>'[2]тариф начисл. 2019 с янв'!$Y$26</f>
        <v>28497.22</v>
      </c>
      <c r="AE20" s="15">
        <f>'[2]тариф начисл. 2019 с янв'!$V$26</f>
        <v>104921.57</v>
      </c>
      <c r="AF20" s="15"/>
      <c r="AG20" s="15">
        <f>'[2]тариф начисл. 2019 с янв'!$BA$26</f>
        <v>46631.81</v>
      </c>
      <c r="AH20" s="16">
        <f t="shared" si="0"/>
        <v>466819.17999999993</v>
      </c>
      <c r="AI20" s="261">
        <f>'[4]тариф начисл. 2021 с янв'!$AJ$25</f>
        <v>100711.75</v>
      </c>
      <c r="AJ20" s="261">
        <f>'[2]тариф начисл. 2019 с янв'!$AO$26</f>
        <v>52784.62</v>
      </c>
      <c r="AK20" s="261">
        <f>'[2]тариф начисл. 2019 с янв'!$AS$26</f>
        <v>30764.04</v>
      </c>
      <c r="AL20" s="261">
        <f>'[2]тариф начисл. 2019 с янв'!$AW$26</f>
        <v>27201.89</v>
      </c>
      <c r="AM20" s="261">
        <f>'[2]тариф начисл. 2019 с янв'!$AZ$26</f>
        <v>47279.47</v>
      </c>
      <c r="AN20" s="16">
        <f t="shared" si="4"/>
        <v>258741.77</v>
      </c>
      <c r="AO20" s="16">
        <f t="shared" si="1"/>
        <v>725560.95</v>
      </c>
      <c r="AP20" s="245">
        <f t="shared" si="5"/>
        <v>63403.20999999995</v>
      </c>
      <c r="AQ20" s="22">
        <f t="shared" si="6"/>
        <v>662157.74</v>
      </c>
    </row>
    <row r="21" spans="1:43" ht="12.75">
      <c r="A21" s="4">
        <v>16</v>
      </c>
      <c r="B21" s="31">
        <v>16</v>
      </c>
      <c r="C21" s="145">
        <v>17</v>
      </c>
      <c r="D21" s="84" t="s">
        <v>8</v>
      </c>
      <c r="E21" s="73">
        <v>18</v>
      </c>
      <c r="F21" s="73" t="s">
        <v>65</v>
      </c>
      <c r="G21" s="74">
        <v>1969</v>
      </c>
      <c r="H21" s="68">
        <f>'[1]тариф начисл. 2018 с янв'!$I$27</f>
        <v>4404.7</v>
      </c>
      <c r="I21" s="69" t="s">
        <v>40</v>
      </c>
      <c r="J21" s="75">
        <v>20.88</v>
      </c>
      <c r="K21" s="142">
        <v>588083.8800000006</v>
      </c>
      <c r="L21" s="256">
        <f>'[5]УК+ООО'!$K$41</f>
        <v>1102756.76</v>
      </c>
      <c r="M21" s="256">
        <f>'[5]УК+ООО'!$N$41</f>
        <v>1160641.23</v>
      </c>
      <c r="N21" s="256">
        <v>0</v>
      </c>
      <c r="O21" s="258">
        <f t="shared" si="2"/>
        <v>530199.4100000006</v>
      </c>
      <c r="P21" s="86"/>
      <c r="Q21" s="254">
        <f>948.39+2219.48</f>
        <v>3167.87</v>
      </c>
      <c r="R21" s="254">
        <f>1379.55+3251.61+6658.44</f>
        <v>11289.599999999999</v>
      </c>
      <c r="S21" s="254">
        <f>1379.55+4606.45+8323.05</f>
        <v>14309.05</v>
      </c>
      <c r="T21" s="254">
        <f t="shared" si="3"/>
        <v>148.41999999999825</v>
      </c>
      <c r="U21" s="15">
        <f>'[2]тариф начисл. 2019 с янв'!$P$27</f>
        <v>3699.95</v>
      </c>
      <c r="V21" s="15">
        <f>'[2]тариф начисл. 2019 с янв'!$O$27+'[2]авг'!$F$27</f>
        <v>39708.19</v>
      </c>
      <c r="W21" s="15">
        <f>'[2]тариф начисл. 2019 с янв'!$N$27</f>
        <v>322952.6</v>
      </c>
      <c r="X21" s="15"/>
      <c r="Y21" s="15"/>
      <c r="Z21" s="15">
        <f>'[2]тариф начисл. 2019 с янв'!$AC$27</f>
        <v>528.56</v>
      </c>
      <c r="AA21" s="15">
        <f>'[2]тариф начисл. 2019 с янв'!$AD$27+'[2]тариф начисл. 2019 с янв'!$AE$27</f>
        <v>49685.02</v>
      </c>
      <c r="AB21" s="15">
        <f>'[2]тариф начисл. 2019 с янв'!$AA$27</f>
        <v>2114.26</v>
      </c>
      <c r="AC21" s="15">
        <f>'[2]тариф начисл. 2019 с янв'!$AB$27+'[3]год'!$F$27</f>
        <v>2386.11</v>
      </c>
      <c r="AD21" s="15">
        <f>'[2]тариф начисл. 2019 с янв'!$Y$27+S21</f>
        <v>60822.67999999999</v>
      </c>
      <c r="AE21" s="15">
        <f>'[2]тариф начисл. 2019 с янв'!$V$27</f>
        <v>171254.74</v>
      </c>
      <c r="AF21" s="15"/>
      <c r="AG21" s="15">
        <f>'[2]тариф начисл. 2019 с янв'!$BA$27</f>
        <v>76113.22</v>
      </c>
      <c r="AH21" s="16">
        <f t="shared" si="0"/>
        <v>729265.33</v>
      </c>
      <c r="AI21" s="261">
        <f>'[3]тариф начисл. 2020 с янв'!$AJ$27</f>
        <v>164383.4</v>
      </c>
      <c r="AJ21" s="261">
        <f>'[2]тариф начисл. 2019 с янв'!$AO$27</f>
        <v>86155.93</v>
      </c>
      <c r="AK21" s="261">
        <f>'[2]тариф начисл. 2019 с янв'!$AS$27+35000</f>
        <v>85213.58</v>
      </c>
      <c r="AL21" s="261">
        <f>'[2]тариф начисл. 2019 с янв'!$AW$27+20000</f>
        <v>64399.38</v>
      </c>
      <c r="AM21" s="261">
        <f>'[2]тариф начисл. 2019 с янв'!$AZ$27</f>
        <v>77170.34</v>
      </c>
      <c r="AN21" s="16">
        <f t="shared" si="4"/>
        <v>477322.63</v>
      </c>
      <c r="AO21" s="16">
        <f t="shared" si="1"/>
        <v>1206587.96</v>
      </c>
      <c r="AP21" s="250">
        <f t="shared" si="5"/>
        <v>31637.679999999982</v>
      </c>
      <c r="AQ21" s="22">
        <f t="shared" si="6"/>
        <v>1174950.28</v>
      </c>
    </row>
    <row r="22" spans="1:43" ht="12.75">
      <c r="A22" s="4"/>
      <c r="B22" s="31"/>
      <c r="C22" s="144">
        <v>18</v>
      </c>
      <c r="D22" s="84" t="s">
        <v>8</v>
      </c>
      <c r="E22" s="83" t="s">
        <v>102</v>
      </c>
      <c r="F22" s="83" t="s">
        <v>32</v>
      </c>
      <c r="G22" s="110" t="s">
        <v>103</v>
      </c>
      <c r="H22" s="68">
        <f>'[1]тариф начисл. 2018 с янв'!$I$28</f>
        <v>3218.2</v>
      </c>
      <c r="I22" s="69" t="s">
        <v>40</v>
      </c>
      <c r="J22" s="75">
        <v>21.73</v>
      </c>
      <c r="K22" s="142">
        <v>107839.94000000018</v>
      </c>
      <c r="L22" s="256">
        <f>'[5]УК+ООО'!$K$42</f>
        <v>837561.36</v>
      </c>
      <c r="M22" s="256">
        <f>'[5]УК+ООО'!$N$42</f>
        <v>827956.74</v>
      </c>
      <c r="N22" s="256">
        <v>0</v>
      </c>
      <c r="O22" s="258">
        <f t="shared" si="2"/>
        <v>117444.56000000017</v>
      </c>
      <c r="P22" s="86"/>
      <c r="Q22" s="254">
        <v>0</v>
      </c>
      <c r="R22" s="254">
        <v>1009.91</v>
      </c>
      <c r="S22" s="254">
        <v>1009.91</v>
      </c>
      <c r="T22" s="254">
        <f t="shared" si="3"/>
        <v>0</v>
      </c>
      <c r="U22" s="15">
        <f>'[2]тариф начисл. 2019 с янв'!$P$28</f>
        <v>2703.29</v>
      </c>
      <c r="V22" s="15">
        <f>'[2]тариф начисл. 2019 с янв'!$O$28+'[2]авг'!$F$28</f>
        <v>18100.69</v>
      </c>
      <c r="W22" s="15">
        <f>'[2]тариф начисл. 2019 с янв'!$N$28</f>
        <v>235958.42</v>
      </c>
      <c r="X22" s="15"/>
      <c r="Y22" s="15"/>
      <c r="Z22" s="15">
        <f>'[2]тариф начисл. 2019 с янв'!$AC$28</f>
        <v>386.18</v>
      </c>
      <c r="AA22" s="15">
        <f>'[2]тариф начисл. 2019 с янв'!$AD$28+'[2]тариф начисл. 2019 с янв'!$AE$28</f>
        <v>36301.3</v>
      </c>
      <c r="AB22" s="15">
        <f>'[2]тариф начисл. 2019 с янв'!$AA$28</f>
        <v>1544.74</v>
      </c>
      <c r="AC22" s="15">
        <f>'[2]тариф начисл. 2019 с янв'!$AB$28+'[3]год'!$F$28</f>
        <v>2267.81</v>
      </c>
      <c r="AD22" s="15">
        <f>'[2]тариф начисл. 2019 с янв'!$Y$28+S22</f>
        <v>34994.100000000006</v>
      </c>
      <c r="AE22" s="15">
        <f>'[2]тариф начисл. 2019 с янв'!$V$28</f>
        <v>125123.62</v>
      </c>
      <c r="AF22" s="15"/>
      <c r="AG22" s="15">
        <f>'[2]тариф начисл. 2019 с янв'!$BA$28</f>
        <v>55610.5</v>
      </c>
      <c r="AH22" s="16">
        <f t="shared" si="0"/>
        <v>512990.65</v>
      </c>
      <c r="AI22" s="261">
        <f>'[4]тариф начисл. 2021 с янв'!$AJ$27</f>
        <v>120103.22</v>
      </c>
      <c r="AJ22" s="261">
        <f>'[2]тариф начисл. 2019 с янв'!$AO$28</f>
        <v>62947.99</v>
      </c>
      <c r="AK22" s="261">
        <f>'[2]тариф начисл. 2019 с янв'!$AS$28</f>
        <v>69126.94</v>
      </c>
      <c r="AL22" s="261">
        <f>'[2]тариф начисл. 2019 с янв'!$AW$28</f>
        <v>32825.64</v>
      </c>
      <c r="AM22" s="261">
        <f>'[2]тариф начисл. 2019 с янв'!$AZ$28</f>
        <v>56382.86</v>
      </c>
      <c r="AN22" s="16">
        <f t="shared" si="4"/>
        <v>341386.64999999997</v>
      </c>
      <c r="AO22" s="16">
        <f t="shared" si="1"/>
        <v>854377.3</v>
      </c>
      <c r="AP22" s="246">
        <f t="shared" si="5"/>
        <v>25410.650000000056</v>
      </c>
      <c r="AQ22" s="22">
        <f t="shared" si="6"/>
        <v>828966.65</v>
      </c>
    </row>
    <row r="23" spans="1:43" ht="12.75">
      <c r="A23" s="4">
        <v>17</v>
      </c>
      <c r="B23" s="30">
        <v>17</v>
      </c>
      <c r="C23" s="145">
        <v>19</v>
      </c>
      <c r="D23" s="84" t="s">
        <v>8</v>
      </c>
      <c r="E23" s="73">
        <v>20</v>
      </c>
      <c r="F23" s="73" t="s">
        <v>65</v>
      </c>
      <c r="G23" s="74">
        <v>1968</v>
      </c>
      <c r="H23" s="68">
        <f>'[2]тариф начисл. 2019 с янв'!$I$29</f>
        <v>4406.8</v>
      </c>
      <c r="I23" s="69" t="s">
        <v>40</v>
      </c>
      <c r="J23" s="75">
        <v>20.88</v>
      </c>
      <c r="K23" s="142">
        <v>153086.49</v>
      </c>
      <c r="L23" s="256">
        <f>'[5]УК+ООО'!$K$43</f>
        <v>1093243.68</v>
      </c>
      <c r="M23" s="256">
        <f>'[5]УК+ООО'!$N$43</f>
        <v>1044889.83</v>
      </c>
      <c r="N23" s="256">
        <v>0</v>
      </c>
      <c r="O23" s="258">
        <f t="shared" si="2"/>
        <v>201440.33999999997</v>
      </c>
      <c r="P23" s="86"/>
      <c r="Q23" s="254">
        <f>2219.48+0</f>
        <v>2219.48</v>
      </c>
      <c r="R23" s="254">
        <f>6658.44+15510.84</f>
        <v>22169.28</v>
      </c>
      <c r="S23" s="254">
        <f>8323.05+15491.44</f>
        <v>23814.489999999998</v>
      </c>
      <c r="T23" s="254">
        <f t="shared" si="3"/>
        <v>574.2700000000004</v>
      </c>
      <c r="U23" s="15">
        <f>'[2]тариф начисл. 2019 с янв'!$P$29</f>
        <v>3701.71</v>
      </c>
      <c r="V23" s="15">
        <f>'[2]тариф начисл. 2019 с янв'!$O$29+'[2]авг'!$F$29</f>
        <v>48332.12</v>
      </c>
      <c r="W23" s="15">
        <f>'[2]тариф начисл. 2019 с янв'!$N$29</f>
        <v>323106.58</v>
      </c>
      <c r="X23" s="15"/>
      <c r="Y23" s="15"/>
      <c r="Z23" s="15">
        <f>'[2]тариф начисл. 2019 с янв'!$AC$29</f>
        <v>528.82</v>
      </c>
      <c r="AA23" s="15">
        <f>'[2]тариф начисл. 2019 с янв'!$AD$29+'[2]тариф начисл. 2019 с янв'!$AE$29</f>
        <v>49708.7</v>
      </c>
      <c r="AB23" s="15">
        <f>'[2]тариф начисл. 2019 с янв'!$AA$29</f>
        <v>2115.26</v>
      </c>
      <c r="AC23" s="15">
        <f>'[2]тариф начисл. 2019 с янв'!$AB$29+'[3]год'!$F$29</f>
        <v>2386.87</v>
      </c>
      <c r="AD23" s="15">
        <f>'[2]тариф начисл. 2019 с янв'!$Z$29</f>
        <v>46535.81</v>
      </c>
      <c r="AE23" s="15">
        <f>'[2]тариф начисл. 2019 с янв'!$V$29</f>
        <v>171336.38</v>
      </c>
      <c r="AF23" s="15"/>
      <c r="AG23" s="15">
        <f>'[2]тариф начисл. 2019 с янв'!$BA$29</f>
        <v>76149.5</v>
      </c>
      <c r="AH23" s="16">
        <f t="shared" si="0"/>
        <v>723901.75</v>
      </c>
      <c r="AI23" s="261">
        <f>'[3]тариф начисл. 2020 с янв'!$AJ$29</f>
        <v>164461.78</v>
      </c>
      <c r="AJ23" s="261">
        <f>'[4]тариф начисл. 2021 с янв'!$AO$28</f>
        <v>86197.01</v>
      </c>
      <c r="AK23" s="261">
        <f>'[2]тариф начисл. 2019 с янв'!$AS$29</f>
        <v>50237.52</v>
      </c>
      <c r="AL23" s="261">
        <f>'[2]тариф начисл. 2019 с янв'!$AW$29</f>
        <v>44420.54</v>
      </c>
      <c r="AM23" s="261">
        <f>'[2]тариф начисл. 2019 с янв'!$AZ$29</f>
        <v>77207.14</v>
      </c>
      <c r="AN23" s="16">
        <f t="shared" si="4"/>
        <v>422523.99</v>
      </c>
      <c r="AO23" s="16">
        <f t="shared" si="1"/>
        <v>1146425.74</v>
      </c>
      <c r="AP23" s="251">
        <f t="shared" si="5"/>
        <v>77721.42000000004</v>
      </c>
      <c r="AQ23" s="22">
        <f t="shared" si="6"/>
        <v>1068704.32</v>
      </c>
    </row>
    <row r="24" spans="1:43" ht="12.75">
      <c r="A24" s="4">
        <v>18</v>
      </c>
      <c r="B24" s="30">
        <v>18</v>
      </c>
      <c r="C24" s="144">
        <v>20</v>
      </c>
      <c r="D24" s="84" t="s">
        <v>8</v>
      </c>
      <c r="E24" s="73">
        <v>22</v>
      </c>
      <c r="F24" s="73" t="s">
        <v>65</v>
      </c>
      <c r="G24" s="74">
        <v>1968</v>
      </c>
      <c r="H24" s="68">
        <f>'[2]тариф начисл. 2019 с янв'!$I$30</f>
        <v>2722</v>
      </c>
      <c r="I24" s="69" t="s">
        <v>40</v>
      </c>
      <c r="J24" s="75">
        <v>20.88</v>
      </c>
      <c r="K24" s="142">
        <v>182973.74999999977</v>
      </c>
      <c r="L24" s="256">
        <f>'[5]УК+ООО'!$K$45</f>
        <v>681923.88</v>
      </c>
      <c r="M24" s="256">
        <f>'[5]УК+ООО'!$N$45</f>
        <v>689236.79</v>
      </c>
      <c r="N24" s="256">
        <v>0</v>
      </c>
      <c r="O24" s="258">
        <f t="shared" si="2"/>
        <v>175660.83999999973</v>
      </c>
      <c r="P24" s="86"/>
      <c r="Q24" s="254">
        <v>1553.48</v>
      </c>
      <c r="R24" s="254">
        <v>4660.43</v>
      </c>
      <c r="S24" s="254">
        <v>5825.54</v>
      </c>
      <c r="T24" s="254">
        <f t="shared" si="3"/>
        <v>388.3699999999999</v>
      </c>
      <c r="U24" s="15">
        <f>'[2]тариф начисл. 2019 с янв'!$P$30</f>
        <v>2286.48</v>
      </c>
      <c r="V24" s="15">
        <f>'[2]тариф начисл. 2019 с янв'!$O$30+'[2]авг'!$F$30</f>
        <v>65711.45999999999</v>
      </c>
      <c r="W24" s="15">
        <f>'[2]тариф начисл. 2019 с янв'!$N$30</f>
        <v>199577.04</v>
      </c>
      <c r="X24" s="15"/>
      <c r="Y24" s="15"/>
      <c r="Z24" s="15">
        <f>'[2]тариф начисл. 2019 с янв'!$AC$30</f>
        <v>326.64</v>
      </c>
      <c r="AA24" s="15">
        <f>'[2]тариф начисл. 2019 с янв'!$AD$30+'[2]тариф начисл. 2019 с янв'!$AE$30</f>
        <v>30704.16</v>
      </c>
      <c r="AB24" s="15">
        <f>'[2]тариф начисл. 2019 с янв'!$AA$30</f>
        <v>1306.56</v>
      </c>
      <c r="AC24" s="15">
        <f>'[3]тариф начисл. 2020 с янв'!$AB$30+'[3]год'!$F$30</f>
        <v>2351.1</v>
      </c>
      <c r="AD24" s="15">
        <f>'[2]тариф начисл. 2019 с янв'!$Y$30</f>
        <v>28744.32</v>
      </c>
      <c r="AE24" s="15">
        <f>'[2]тариф начисл. 2019 с янв'!$V$30</f>
        <v>105831.36</v>
      </c>
      <c r="AF24" s="15"/>
      <c r="AG24" s="15">
        <f>'[2]тариф начисл. 2019 с янв'!$BA$30</f>
        <v>47036.16</v>
      </c>
      <c r="AH24" s="16">
        <f t="shared" si="0"/>
        <v>483875.2799999999</v>
      </c>
      <c r="AI24" s="261">
        <f>'[4]тариф начисл. 2021 с янв'!$AJ$29</f>
        <v>101585.04</v>
      </c>
      <c r="AJ24" s="261">
        <f>'[2]тариф начисл. 2019 с янв'!$AO$30</f>
        <v>53242.32</v>
      </c>
      <c r="AK24" s="261">
        <f>'[2]тариф начисл. 2019 с янв'!$AS$30</f>
        <v>31030.8</v>
      </c>
      <c r="AL24" s="261">
        <f>'[2]тариф начисл. 2019 с янв'!$AW$30</f>
        <v>27437.76</v>
      </c>
      <c r="AM24" s="261">
        <f>'[2]тариф начисл. 2019 с янв'!$AZ$30</f>
        <v>47689.44</v>
      </c>
      <c r="AN24" s="16">
        <f t="shared" si="4"/>
        <v>260985.36</v>
      </c>
      <c r="AO24" s="16">
        <f t="shared" si="1"/>
        <v>744860.6399999999</v>
      </c>
      <c r="AP24" s="245">
        <f t="shared" si="5"/>
        <v>49798.30999999986</v>
      </c>
      <c r="AQ24" s="22">
        <f t="shared" si="6"/>
        <v>695062.3300000001</v>
      </c>
    </row>
    <row r="25" spans="1:43" ht="12.75">
      <c r="A25" s="4">
        <v>19</v>
      </c>
      <c r="B25" s="31">
        <v>19</v>
      </c>
      <c r="C25" s="145">
        <v>21</v>
      </c>
      <c r="D25" s="84" t="s">
        <v>8</v>
      </c>
      <c r="E25" s="73" t="s">
        <v>20</v>
      </c>
      <c r="F25" s="73" t="s">
        <v>65</v>
      </c>
      <c r="G25" s="74">
        <v>1984</v>
      </c>
      <c r="H25" s="68">
        <f>'[2]тариф начисл. 2019 с янв'!$I$31</f>
        <v>3057.8</v>
      </c>
      <c r="I25" s="69" t="s">
        <v>40</v>
      </c>
      <c r="J25" s="75">
        <v>21.73</v>
      </c>
      <c r="K25" s="142">
        <v>79152.22999999986</v>
      </c>
      <c r="L25" s="256">
        <f>'[5]УК+ООО'!$K$39</f>
        <v>797353.08</v>
      </c>
      <c r="M25" s="256">
        <f>'[5]УК+ООО'!$N$39</f>
        <v>776877.8</v>
      </c>
      <c r="N25" s="256">
        <v>0</v>
      </c>
      <c r="O25" s="258">
        <f t="shared" si="2"/>
        <v>99627.50999999978</v>
      </c>
      <c r="P25" s="86"/>
      <c r="Q25" s="254">
        <v>1553.48</v>
      </c>
      <c r="R25" s="254">
        <f>959.45+4660.43</f>
        <v>5619.88</v>
      </c>
      <c r="S25" s="254">
        <f>959.45+5825.54</f>
        <v>6784.99</v>
      </c>
      <c r="T25" s="254">
        <f t="shared" si="3"/>
        <v>388.3700000000008</v>
      </c>
      <c r="U25" s="15">
        <f>'[2]тариф начисл. 2019 с янв'!$P$31</f>
        <v>2568.55</v>
      </c>
      <c r="V25" s="15">
        <f>'[2]тариф начисл. 2019 с янв'!$O$31+'[2]авг'!$F$31</f>
        <v>31168.699999999997</v>
      </c>
      <c r="W25" s="15">
        <f>'[2]тариф начисл. 2019 с янв'!$N$31</f>
        <v>224197.9</v>
      </c>
      <c r="X25" s="15"/>
      <c r="Y25" s="15"/>
      <c r="Z25" s="15">
        <f>'[2]тариф начисл. 2019 с янв'!$AC$31</f>
        <v>366.94</v>
      </c>
      <c r="AA25" s="15">
        <f>'[2]тариф начисл. 2019 с янв'!$AD$31+'[2]тариф начисл. 2019 с янв'!$AE$31</f>
        <v>34491.98</v>
      </c>
      <c r="AB25" s="15">
        <f>'[2]тариф начисл. 2019 с янв'!$AA$31</f>
        <v>1467.74</v>
      </c>
      <c r="AC25" s="15">
        <f>'[3]тариф начисл. 2020 с янв'!$AB$31+'[3]год'!$F$31</f>
        <v>1594.29</v>
      </c>
      <c r="AD25" s="15">
        <f>'[2]тариф начисл. 2019 с янв'!$Z$31</f>
        <v>32290.37</v>
      </c>
      <c r="AE25" s="15">
        <f>'[2]тариф начисл. 2019 с янв'!$V$31</f>
        <v>118887.26</v>
      </c>
      <c r="AF25" s="15"/>
      <c r="AG25" s="15">
        <f>'[2]тариф начисл. 2019 с янв'!$BA$31</f>
        <v>52838.78</v>
      </c>
      <c r="AH25" s="16">
        <f t="shared" si="0"/>
        <v>499872.51</v>
      </c>
      <c r="AI25" s="261">
        <f>'[4]тариф начисл. 2021 с янв'!$AJ$30+'[4]год'!$R$30</f>
        <v>121214.6</v>
      </c>
      <c r="AJ25" s="261">
        <f>'[2]тариф начисл. 2019 с янв'!$AO$31</f>
        <v>59810.57</v>
      </c>
      <c r="AK25" s="261">
        <f>'[2]тариф начисл. 2019 с янв'!$AS$31</f>
        <v>65681.54</v>
      </c>
      <c r="AL25" s="261">
        <f>'[2]тариф начисл. 2019 с янв'!$AW$31</f>
        <v>31189.56</v>
      </c>
      <c r="AM25" s="261">
        <f>'[2]тариф начисл. 2019 с янв'!$AZ$31</f>
        <v>53572.66</v>
      </c>
      <c r="AN25" s="16">
        <f t="shared" si="4"/>
        <v>331468.93000000005</v>
      </c>
      <c r="AO25" s="16">
        <f t="shared" si="1"/>
        <v>831341.4400000001</v>
      </c>
      <c r="AP25" s="245">
        <f t="shared" si="5"/>
        <v>47678.650000000016</v>
      </c>
      <c r="AQ25" s="22">
        <f t="shared" si="6"/>
        <v>783662.79</v>
      </c>
    </row>
    <row r="26" spans="1:43" ht="12.75">
      <c r="A26" s="4"/>
      <c r="B26" s="31"/>
      <c r="C26" s="144">
        <v>22</v>
      </c>
      <c r="D26" s="84" t="s">
        <v>8</v>
      </c>
      <c r="E26" s="83" t="s">
        <v>25</v>
      </c>
      <c r="F26" s="83" t="s">
        <v>82</v>
      </c>
      <c r="G26" s="74">
        <v>2012</v>
      </c>
      <c r="H26" s="68">
        <f>'[2]тариф начисл. 2019 с янв'!$I$32</f>
        <v>5970.1</v>
      </c>
      <c r="I26" s="85" t="s">
        <v>40</v>
      </c>
      <c r="J26" s="75">
        <v>25.92</v>
      </c>
      <c r="K26" s="142">
        <v>330930.65999999945</v>
      </c>
      <c r="L26" s="256">
        <f>'[5]УК+ООО'!$K$44</f>
        <v>1794397.01</v>
      </c>
      <c r="M26" s="256">
        <f>'[5]УК+ООО'!$N$44</f>
        <v>1776850.73</v>
      </c>
      <c r="N26" s="256">
        <v>0</v>
      </c>
      <c r="O26" s="258">
        <f t="shared" si="2"/>
        <v>348476.9399999995</v>
      </c>
      <c r="P26" s="86"/>
      <c r="Q26" s="254">
        <v>0</v>
      </c>
      <c r="R26" s="254">
        <v>0</v>
      </c>
      <c r="S26" s="254">
        <v>0</v>
      </c>
      <c r="T26" s="254">
        <f t="shared" si="3"/>
        <v>0</v>
      </c>
      <c r="U26" s="15">
        <f>'[2]тариф начисл. 2019 с янв'!$P$32</f>
        <v>5014.88</v>
      </c>
      <c r="V26" s="15">
        <f>'[2]тариф начисл. 2019 с янв'!$O$32+'[2]авг'!$F$32</f>
        <v>28994.32</v>
      </c>
      <c r="W26" s="15">
        <f>'[2]тариф начисл. 2019 с янв'!$N$32</f>
        <v>298743.8</v>
      </c>
      <c r="X26" s="15"/>
      <c r="Y26" s="15">
        <f>'[4]тариф начисл. 2021 с янв'!$BE$31+'[4]год'!$Z$31</f>
        <v>476109.7</v>
      </c>
      <c r="Z26" s="15">
        <f>'[2]тариф начисл. 2019 с янв'!$AC$32</f>
        <v>716.41</v>
      </c>
      <c r="AA26" s="15">
        <f>'[2]тариф начисл. 2019 с янв'!$AD$32+'[2]тариф начисл. 2019 с янв'!$AE$32</f>
        <v>67342.72</v>
      </c>
      <c r="AB26" s="15">
        <f>'[2]тариф начисл. 2019 с янв'!$AA$32</f>
        <v>2865.65</v>
      </c>
      <c r="AC26" s="15">
        <f>'[3]тариф начисл. 2020 с янв'!$AB$32+'[3]год'!$F$32</f>
        <v>2899.2299999999996</v>
      </c>
      <c r="AD26" s="15">
        <f>'[2]тариф начисл. 2019 с янв'!$Z$32</f>
        <v>63044.26</v>
      </c>
      <c r="AE26" s="15">
        <f>'[2]тариф начисл. 2019 с янв'!$V$32</f>
        <v>232117.49</v>
      </c>
      <c r="AF26" s="15"/>
      <c r="AG26" s="15">
        <f>'[2]тариф начисл. 2019 с янв'!$BA$32</f>
        <v>103163.33</v>
      </c>
      <c r="AH26" s="16">
        <f t="shared" si="0"/>
        <v>1281011.79</v>
      </c>
      <c r="AI26" s="261">
        <f>'[2]тариф начисл. 2019 с янв'!$AJ$32</f>
        <v>151162.93</v>
      </c>
      <c r="AJ26" s="261">
        <f>'[2]тариф начисл. 2019 с янв'!$AO$32</f>
        <v>116775.16</v>
      </c>
      <c r="AK26" s="261">
        <f>'[2]тариф начисл. 2019 с янв'!$AS$32</f>
        <v>128237.75</v>
      </c>
      <c r="AL26" s="261">
        <f>'[2]тариф начисл. 2019 с янв'!$AW$32</f>
        <v>60895.02</v>
      </c>
      <c r="AM26" s="261">
        <f>'[2]тариф начисл. 2019 с янв'!$AZ$32</f>
        <v>104596.15</v>
      </c>
      <c r="AN26" s="16">
        <f t="shared" si="4"/>
        <v>561667.01</v>
      </c>
      <c r="AO26" s="16">
        <f t="shared" si="1"/>
        <v>1842678.8</v>
      </c>
      <c r="AP26" s="245">
        <f t="shared" si="5"/>
        <v>65828.07000000007</v>
      </c>
      <c r="AQ26" s="22">
        <f t="shared" si="6"/>
        <v>1776850.73</v>
      </c>
    </row>
    <row r="27" spans="1:43" ht="12.75">
      <c r="A27" s="4"/>
      <c r="B27" s="31"/>
      <c r="C27" s="145">
        <v>23</v>
      </c>
      <c r="D27" s="84" t="s">
        <v>194</v>
      </c>
      <c r="E27" s="83">
        <v>12</v>
      </c>
      <c r="F27" s="83" t="s">
        <v>107</v>
      </c>
      <c r="G27" s="74">
        <v>1989</v>
      </c>
      <c r="H27" s="68">
        <f>'[2]тариф начисл. 2019 с янв'!$I$33</f>
        <v>3312.2</v>
      </c>
      <c r="I27" s="85" t="s">
        <v>40</v>
      </c>
      <c r="J27" s="75">
        <v>22.4</v>
      </c>
      <c r="K27" s="142">
        <v>149287.54999999993</v>
      </c>
      <c r="L27" s="256">
        <f>'[5]УК+ООО'!$K$25</f>
        <v>908328.96</v>
      </c>
      <c r="M27" s="256">
        <f>'[5]УК+ООО'!$N$25</f>
        <v>913104.74</v>
      </c>
      <c r="N27" s="256">
        <v>0</v>
      </c>
      <c r="O27" s="258">
        <f t="shared" si="2"/>
        <v>144511.7699999998</v>
      </c>
      <c r="P27" s="86"/>
      <c r="Q27" s="254">
        <v>0</v>
      </c>
      <c r="R27" s="254">
        <v>0</v>
      </c>
      <c r="S27" s="254">
        <v>0</v>
      </c>
      <c r="T27" s="254">
        <f t="shared" si="3"/>
        <v>0</v>
      </c>
      <c r="U27" s="15">
        <f>'[3]тариф начисл. 2020 с янв'!$P$33</f>
        <v>2782.25</v>
      </c>
      <c r="V27" s="15">
        <f>'[4]тариф начисл. 2021 с янв'!$O$32+'[4]год'!$G$32</f>
        <v>34445.98</v>
      </c>
      <c r="W27" s="15">
        <f>'[3]тариф начисл. 2020 с янв'!$N$33</f>
        <v>242850.5</v>
      </c>
      <c r="X27" s="15"/>
      <c r="Y27" s="15"/>
      <c r="Z27" s="15">
        <f>'[3]тариф начисл. 2020 с янв'!$AC$33</f>
        <v>397.46</v>
      </c>
      <c r="AA27" s="15">
        <f>'[3]тариф начисл. 2020 с янв'!$AD$33+'[3]тариф начисл. 2020 с янв'!$AE$33</f>
        <v>37361.62</v>
      </c>
      <c r="AB27" s="15">
        <f>'[3]тариф начисл. 2020 с янв'!$AA$33</f>
        <v>1589.86</v>
      </c>
      <c r="AC27" s="15">
        <f>'[3]тариф начисл. 2020 с янв'!$AB$33+'[3]год'!$F$33</f>
        <v>8484.19</v>
      </c>
      <c r="AD27" s="15">
        <f>'[3]тариф начисл. 2020 с янв'!$Z$33</f>
        <v>34976.83</v>
      </c>
      <c r="AE27" s="15">
        <f>'[3]тариф начисл. 2020 с янв'!$V$33</f>
        <v>128778.34</v>
      </c>
      <c r="AF27" s="15"/>
      <c r="AG27" s="15">
        <f>'[3]тариф начисл. 2020 с янв'!$BA$33</f>
        <v>57234.82</v>
      </c>
      <c r="AH27" s="16">
        <f t="shared" si="0"/>
        <v>548901.85</v>
      </c>
      <c r="AI27" s="261">
        <f>'[3]тариф начисл. 2020 с янв'!$AJ$33</f>
        <v>123611.3</v>
      </c>
      <c r="AJ27" s="261">
        <f>'[3]тариф начисл. 2020 с янв'!$AO$33+10000</f>
        <v>74786.63</v>
      </c>
      <c r="AK27" s="261">
        <f>'[3]тариф начисл. 2020 с янв'!$AS$33+10000</f>
        <v>81146.06</v>
      </c>
      <c r="AL27" s="261">
        <f>'[3]тариф начисл. 2020 с янв'!$AW$33</f>
        <v>60414.53</v>
      </c>
      <c r="AM27" s="261">
        <f>'[3]тариф начисл. 2020 с янв'!$AZ$33</f>
        <v>58029.74</v>
      </c>
      <c r="AN27" s="16">
        <f t="shared" si="4"/>
        <v>397988.26</v>
      </c>
      <c r="AO27" s="16">
        <f t="shared" si="1"/>
        <v>946890.11</v>
      </c>
      <c r="AP27" s="250">
        <f t="shared" si="5"/>
        <v>33785.369999999995</v>
      </c>
      <c r="AQ27" s="22">
        <f t="shared" si="6"/>
        <v>913104.74</v>
      </c>
    </row>
    <row r="28" spans="1:43" ht="12.75">
      <c r="A28" s="4"/>
      <c r="B28" s="31"/>
      <c r="C28" s="144">
        <v>24</v>
      </c>
      <c r="D28" s="84" t="s">
        <v>194</v>
      </c>
      <c r="E28" s="83" t="s">
        <v>195</v>
      </c>
      <c r="F28" s="83" t="s">
        <v>107</v>
      </c>
      <c r="G28" s="74">
        <v>1991</v>
      </c>
      <c r="H28" s="68">
        <f>'[2]тариф начисл. 2019 с янв'!$I$34</f>
        <v>3530.6</v>
      </c>
      <c r="I28" s="85" t="s">
        <v>40</v>
      </c>
      <c r="J28" s="75">
        <v>22.4</v>
      </c>
      <c r="K28" s="142">
        <v>184018.2400000001</v>
      </c>
      <c r="L28" s="256">
        <f>'[5]УК+ООО'!$K$26</f>
        <v>949025.28</v>
      </c>
      <c r="M28" s="256">
        <f>'[5]УК+ООО'!$N$26</f>
        <v>889601.29</v>
      </c>
      <c r="N28" s="256">
        <v>0</v>
      </c>
      <c r="O28" s="258">
        <f t="shared" si="2"/>
        <v>243442.22999999998</v>
      </c>
      <c r="P28" s="86"/>
      <c r="Q28" s="254">
        <v>0</v>
      </c>
      <c r="R28" s="254">
        <v>0</v>
      </c>
      <c r="S28" s="254">
        <v>0</v>
      </c>
      <c r="T28" s="254">
        <f t="shared" si="3"/>
        <v>0</v>
      </c>
      <c r="U28" s="15">
        <f>'[3]тариф начисл. 2020 с янв'!$P$34</f>
        <v>2965.7</v>
      </c>
      <c r="V28" s="15">
        <f>'[3]тариф начисл. 2020 с янв'!$O$34</f>
        <v>5507.74</v>
      </c>
      <c r="W28" s="15">
        <f>'[3]тариф начисл. 2020 с янв'!$N$34</f>
        <v>258863.59</v>
      </c>
      <c r="X28" s="15"/>
      <c r="Y28" s="15"/>
      <c r="Z28" s="15">
        <f>'[3]тариф начисл. 2020 с янв'!$AC$34</f>
        <v>423.67</v>
      </c>
      <c r="AA28" s="15">
        <f>'[3]тариф начисл. 2020 с янв'!$AD$34+'[3]тариф начисл. 2020 с янв'!$AE$34</f>
        <v>39825.16</v>
      </c>
      <c r="AB28" s="15">
        <f>'[3]тариф начисл. 2020 с янв'!$AA$34</f>
        <v>1694.69</v>
      </c>
      <c r="AC28" s="15">
        <f>'[3]тариф начисл. 2020 с янв'!$AB$34+'[3]год'!$F$34</f>
        <v>3850.42</v>
      </c>
      <c r="AD28" s="15">
        <f>'[3]тариф начисл. 2020 с янв'!$Z$34</f>
        <v>37283.14</v>
      </c>
      <c r="AE28" s="15">
        <f>'[3]тариф начисл. 2020 с янв'!$V$34</f>
        <v>137269.73</v>
      </c>
      <c r="AF28" s="15"/>
      <c r="AG28" s="15">
        <f>'[3]тариф начисл. 2020 с янв'!$BA$34</f>
        <v>61008.77</v>
      </c>
      <c r="AH28" s="16">
        <f t="shared" si="0"/>
        <v>548692.61</v>
      </c>
      <c r="AI28" s="261">
        <f>'[3]тариф начисл. 2020 с янв'!$AJ$34</f>
        <v>131761.99</v>
      </c>
      <c r="AJ28" s="261">
        <f>'[3]тариф начисл. 2020 с янв'!$AO$34</f>
        <v>69058.54</v>
      </c>
      <c r="AK28" s="261">
        <f>'[3]тариф начисл. 2020 с янв'!$AS$34</f>
        <v>75837.29</v>
      </c>
      <c r="AL28" s="261">
        <f>'[3]тариф начисл. 2020 с янв'!$AW$34</f>
        <v>64398.14</v>
      </c>
      <c r="AM28" s="261">
        <f>'[3]тариф начисл. 2020 с янв'!$AZ$34</f>
        <v>61856.11</v>
      </c>
      <c r="AN28" s="16">
        <f t="shared" si="4"/>
        <v>402912.06999999995</v>
      </c>
      <c r="AO28" s="16">
        <f t="shared" si="1"/>
        <v>951604.6799999999</v>
      </c>
      <c r="AP28" s="245">
        <f t="shared" si="5"/>
        <v>62003.3899999999</v>
      </c>
      <c r="AQ28" s="22">
        <f t="shared" si="6"/>
        <v>889601.29</v>
      </c>
    </row>
    <row r="29" spans="1:43" ht="12.75">
      <c r="A29" s="4">
        <v>20</v>
      </c>
      <c r="B29" s="30">
        <v>20</v>
      </c>
      <c r="C29" s="145">
        <v>25</v>
      </c>
      <c r="D29" s="263" t="s">
        <v>9</v>
      </c>
      <c r="E29" s="73">
        <v>165</v>
      </c>
      <c r="F29" s="73" t="s">
        <v>65</v>
      </c>
      <c r="G29" s="74">
        <v>1976</v>
      </c>
      <c r="H29" s="68">
        <f>'[1]тариф начисл. 2018 с янв'!$I$34</f>
        <v>7134.8</v>
      </c>
      <c r="I29" s="69" t="s">
        <v>40</v>
      </c>
      <c r="J29" s="75">
        <v>20.88</v>
      </c>
      <c r="K29" s="142">
        <v>705463.7200000002</v>
      </c>
      <c r="L29" s="256">
        <f>'[5]УК+ООО'!$K$28</f>
        <v>1702454.88</v>
      </c>
      <c r="M29" s="256">
        <f>'[5]УК+ООО'!$N$28</f>
        <v>1760949.78</v>
      </c>
      <c r="N29" s="256">
        <v>0</v>
      </c>
      <c r="O29" s="258">
        <f t="shared" si="2"/>
        <v>646968.8200000001</v>
      </c>
      <c r="P29" s="86"/>
      <c r="Q29" s="254">
        <f>3417.02+6565.83+18796.29+1009.15+12475.85+7727.73+3713.2</f>
        <v>53705.06999999999</v>
      </c>
      <c r="R29" s="254">
        <f>10251.05+17437.97+13706.12+11587.72+17954.58+18926.52+12722.42+13710.46</f>
        <v>116296.84</v>
      </c>
      <c r="S29" s="254">
        <f>12813.82+24003.8+11608.1+12617.89+21482.63+23261.52+12063.96+13500.46</f>
        <v>131352.18</v>
      </c>
      <c r="T29" s="254">
        <f t="shared" si="3"/>
        <v>38649.72999999998</v>
      </c>
      <c r="U29" s="15">
        <f>'[2]тариф начисл. 2019 с янв'!$P$35</f>
        <v>5993.23</v>
      </c>
      <c r="V29" s="15">
        <f>'[4]тариф начисл. 2021 с янв'!$O$33+'[4]год'!$G$33</f>
        <v>31995.25</v>
      </c>
      <c r="W29" s="15">
        <f>'[2]тариф начисл. 2019 с янв'!$N$35</f>
        <v>523123.54</v>
      </c>
      <c r="X29" s="15"/>
      <c r="Y29" s="15"/>
      <c r="Z29" s="15">
        <f>'[2]тариф начисл. 2019 с янв'!$AC$35</f>
        <v>856.18</v>
      </c>
      <c r="AA29" s="15">
        <f>'[2]тариф начисл. 2019 с янв'!$AD$35+'[2]тариф начисл. 2019 с янв'!$AE$35</f>
        <v>80480.54</v>
      </c>
      <c r="AB29" s="15">
        <f>'[2]тариф начисл. 2019 с янв'!$AA$35</f>
        <v>3424.7</v>
      </c>
      <c r="AC29" s="15">
        <f>'[3]тариф начисл. 2020 с янв'!$AB$35+'[3]год'!$F$35</f>
        <v>16830</v>
      </c>
      <c r="AD29" s="15">
        <f>'[2]тариф начисл. 2019 с янв'!$Y$35</f>
        <v>75343.49</v>
      </c>
      <c r="AE29" s="15">
        <f>'[2]тариф начисл. 2019 с янв'!$V$35</f>
        <v>277401.02</v>
      </c>
      <c r="AF29" s="15"/>
      <c r="AG29" s="15">
        <f>'[2]тариф начисл. 2019 с янв'!$BA$35</f>
        <v>123289.34</v>
      </c>
      <c r="AH29" s="16">
        <f aca="true" t="shared" si="7" ref="AH29:AH47">SUM(U29:AG29)</f>
        <v>1138737.29</v>
      </c>
      <c r="AI29" s="261">
        <f>'[4]тариф начисл. 2021 с янв'!$AJ$34+'[4]год'!$R$34</f>
        <v>267110.74</v>
      </c>
      <c r="AJ29" s="261">
        <f>'[2]тариф начисл. 2019 с янв'!$AO$35+15000</f>
        <v>154556.69</v>
      </c>
      <c r="AK29" s="261">
        <f>'[2]тариф начисл. 2019 с янв'!$AS$35+45000</f>
        <v>126336.72</v>
      </c>
      <c r="AL29" s="261">
        <f>'[2]тариф начисл. 2019 с янв'!$AW$35+30000</f>
        <v>101918.78</v>
      </c>
      <c r="AM29" s="261">
        <f>'[2]тариф начисл. 2019 с янв'!$AZ$35</f>
        <v>125001.7</v>
      </c>
      <c r="AN29" s="16">
        <f t="shared" si="4"/>
        <v>774924.63</v>
      </c>
      <c r="AO29" s="16">
        <f t="shared" si="1"/>
        <v>1913661.92</v>
      </c>
      <c r="AP29" s="250">
        <f t="shared" si="5"/>
        <v>21359.959999999905</v>
      </c>
      <c r="AQ29" s="22">
        <f t="shared" si="6"/>
        <v>1892301.96</v>
      </c>
    </row>
    <row r="30" spans="1:43" ht="12.75">
      <c r="A30" s="4">
        <v>21</v>
      </c>
      <c r="B30" s="21">
        <v>21</v>
      </c>
      <c r="C30" s="144">
        <v>26</v>
      </c>
      <c r="D30" s="84" t="s">
        <v>9</v>
      </c>
      <c r="E30" s="73">
        <v>167</v>
      </c>
      <c r="F30" s="73" t="s">
        <v>65</v>
      </c>
      <c r="G30" s="74">
        <v>1976</v>
      </c>
      <c r="H30" s="68">
        <f>'[1]тариф начисл. 2018 с янв'!$I$35</f>
        <v>2760.1</v>
      </c>
      <c r="I30" s="69" t="s">
        <v>40</v>
      </c>
      <c r="J30" s="75">
        <v>20.88</v>
      </c>
      <c r="K30" s="142">
        <v>267348.85999999987</v>
      </c>
      <c r="L30" s="256">
        <f>'[5]УК+ООО'!$K$30</f>
        <v>543239.88</v>
      </c>
      <c r="M30" s="256">
        <f>'[5]УК+ООО'!$N$30</f>
        <v>471767.77</v>
      </c>
      <c r="N30" s="256">
        <v>0</v>
      </c>
      <c r="O30" s="258">
        <f t="shared" si="2"/>
        <v>338820.96999999986</v>
      </c>
      <c r="P30" s="86"/>
      <c r="Q30" s="254">
        <f>948.39+0+1553.48</f>
        <v>2501.87</v>
      </c>
      <c r="R30" s="254">
        <f>3251.61+47936.12+48105.43+8657.14+109615.56+4660.43</f>
        <v>222226.28999999998</v>
      </c>
      <c r="S30" s="254">
        <f>4606.45+17936.12+48105.43+4645.36+109615.56+5825.54</f>
        <v>190734.46</v>
      </c>
      <c r="T30" s="254">
        <f t="shared" si="3"/>
        <v>33993.69999999998</v>
      </c>
      <c r="U30" s="15">
        <f>'[2]тариф начисл. 2019 с янв'!$P$36</f>
        <v>2318.48</v>
      </c>
      <c r="V30" s="15">
        <f>'[4]тариф начисл. 2021 с янв'!$O$35+'[4]год'!$G$35</f>
        <v>4305.76</v>
      </c>
      <c r="W30" s="15">
        <f>'[2]тариф начисл. 2019 с янв'!$N$36</f>
        <v>202370.53</v>
      </c>
      <c r="X30" s="15"/>
      <c r="Y30" s="15"/>
      <c r="Z30" s="15">
        <f>'[2]тариф начисл. 2019 с янв'!$AC$36</f>
        <v>331.21</v>
      </c>
      <c r="AA30" s="15">
        <f>'[2]тариф начисл. 2019 с янв'!$AD$36+'[2]тариф начисл. 2019 с янв'!$AE$36</f>
        <v>31133.92</v>
      </c>
      <c r="AB30" s="15">
        <f>'[2]тариф начисл. 2019 с янв'!$AA$36</f>
        <v>1324.85</v>
      </c>
      <c r="AC30" s="15">
        <f>'[3]тариф начисл. 2020 с янв'!$AB$36+'[3]год'!$F$36</f>
        <v>1538.28</v>
      </c>
      <c r="AD30" s="15">
        <f>'[2]тариф начисл. 2019 с янв'!$Z$36</f>
        <v>29146.66</v>
      </c>
      <c r="AE30" s="15">
        <f>'[2]тариф начисл. 2019 с янв'!$V$36</f>
        <v>107312.69</v>
      </c>
      <c r="AF30" s="15"/>
      <c r="AG30" s="15">
        <f>'[2]тариф начисл. 2019 с янв'!$BA$36</f>
        <v>47694.53</v>
      </c>
      <c r="AH30" s="16">
        <f t="shared" si="7"/>
        <v>427476.9099999999</v>
      </c>
      <c r="AI30" s="261">
        <f>'[4]тариф начисл. 2021 с янв'!$AJ$35</f>
        <v>103006.93</v>
      </c>
      <c r="AJ30" s="261">
        <f>'[4]тариф начисл. 2021 с янв'!$AO$35</f>
        <v>53987.56</v>
      </c>
      <c r="AK30" s="261">
        <f>'[2]тариф начисл. 2019 с янв'!$AS$36</f>
        <v>31465.14</v>
      </c>
      <c r="AL30" s="261">
        <f>'[2]тариф начисл. 2019 с янв'!$AW$36</f>
        <v>27821.81</v>
      </c>
      <c r="AM30" s="261">
        <f>'[4]тариф начисл. 2021 с янв'!$AZ$35</f>
        <v>48356.95</v>
      </c>
      <c r="AN30" s="16">
        <f t="shared" si="4"/>
        <v>264638.39</v>
      </c>
      <c r="AO30" s="16">
        <f t="shared" si="1"/>
        <v>692115.2999999999</v>
      </c>
      <c r="AP30" s="245">
        <f t="shared" si="5"/>
        <v>29613.06999999992</v>
      </c>
      <c r="AQ30" s="22">
        <f t="shared" si="6"/>
        <v>662502.23</v>
      </c>
    </row>
    <row r="31" spans="1:43" ht="12.75">
      <c r="A31" s="4">
        <v>22</v>
      </c>
      <c r="B31" s="20">
        <v>22</v>
      </c>
      <c r="C31" s="145">
        <v>27</v>
      </c>
      <c r="D31" s="84" t="s">
        <v>9</v>
      </c>
      <c r="E31" s="73">
        <v>169</v>
      </c>
      <c r="F31" s="73" t="s">
        <v>65</v>
      </c>
      <c r="G31" s="74">
        <v>1986</v>
      </c>
      <c r="H31" s="68">
        <f>'[1]тариф начисл. 2018 с янв'!$I$36</f>
        <v>2132.7</v>
      </c>
      <c r="I31" s="69" t="s">
        <v>40</v>
      </c>
      <c r="J31" s="75">
        <v>23.27</v>
      </c>
      <c r="K31" s="142">
        <v>52313.15000000002</v>
      </c>
      <c r="L31" s="256">
        <f>'[5]УК+ООО'!$K$32</f>
        <v>455237.52</v>
      </c>
      <c r="M31" s="256">
        <f>'[5]УК+ООО'!$N$32</f>
        <v>463258.25</v>
      </c>
      <c r="N31" s="256">
        <v>0</v>
      </c>
      <c r="O31" s="258">
        <f t="shared" si="2"/>
        <v>44292.42000000004</v>
      </c>
      <c r="P31" s="86"/>
      <c r="Q31" s="254">
        <f>948.39+0+1021.94</f>
        <v>1970.33</v>
      </c>
      <c r="R31" s="254">
        <f>3251.61+66739.8+3065.82</f>
        <v>73057.23000000001</v>
      </c>
      <c r="S31" s="254">
        <f>4606.45+66739.8+3832.28</f>
        <v>75178.53</v>
      </c>
      <c r="T31" s="254">
        <f t="shared" si="3"/>
        <v>-150.9699999999866</v>
      </c>
      <c r="U31" s="15">
        <f>'[2]тариф начисл. 2019 с янв'!$P$37</f>
        <v>1791.47</v>
      </c>
      <c r="V31" s="15">
        <f>'[2]тариф начисл. 2019 с янв'!$O$37+'[2]авг'!$F$37</f>
        <v>38516.560000000005</v>
      </c>
      <c r="W31" s="15">
        <f>'[2]тариф начисл. 2019 с янв'!$N$37</f>
        <v>156369.56</v>
      </c>
      <c r="X31" s="15">
        <f>'[2]тариф начисл. 2019 с янв'!$BC$37</f>
        <v>61933.61</v>
      </c>
      <c r="Y31" s="15"/>
      <c r="Z31" s="15">
        <f>'[2]тариф начисл. 2019 с янв'!$AC$37</f>
        <v>255.92</v>
      </c>
      <c r="AA31" s="15">
        <f>'[2]тариф начисл. 2019 с янв'!$AD$37+'[2]тариф начисл. 2019 с янв'!$AE$37</f>
        <v>24056.86</v>
      </c>
      <c r="AB31" s="15">
        <f>'[2]тариф начисл. 2019 с янв'!$AA$37</f>
        <v>1023.7</v>
      </c>
      <c r="AC31" s="15">
        <f>'[2]тариф начисл. 2019 с янв'!$AB$37+'[3]год'!$F$37</f>
        <v>1163.79</v>
      </c>
      <c r="AD31" s="15">
        <f>'[2]тариф начисл. 2019 с янв'!$Z$37</f>
        <v>0</v>
      </c>
      <c r="AE31" s="15">
        <f>'[2]тариф начисл. 2019 с янв'!$V$37</f>
        <v>82919.38</v>
      </c>
      <c r="AF31" s="15"/>
      <c r="AG31" s="15">
        <f>'[2]тариф начисл. 2019 с янв'!$BA$37</f>
        <v>36853.06</v>
      </c>
      <c r="AH31" s="16">
        <f t="shared" si="7"/>
        <v>404883.91000000003</v>
      </c>
      <c r="AI31" s="261">
        <f>'[2]тариф начисл. 2019 с янв'!$AJ$37</f>
        <v>79592.36</v>
      </c>
      <c r="AJ31" s="261">
        <f>'[2]тариф начисл. 2019 с янв'!$AO$37</f>
        <v>26360.17</v>
      </c>
      <c r="AK31" s="261">
        <f>'[2]тариф начисл. 2019 с янв'!$AS$37</f>
        <v>28919.41</v>
      </c>
      <c r="AL31" s="261">
        <f>'[2]тариф начисл. 2019 с янв'!$AW$37</f>
        <v>21753.54</v>
      </c>
      <c r="AM31" s="261">
        <f>'[2]тариф начисл. 2019 с янв'!$AZ$37</f>
        <v>37364.9</v>
      </c>
      <c r="AN31" s="16">
        <f t="shared" si="4"/>
        <v>193990.38</v>
      </c>
      <c r="AO31" s="16">
        <f t="shared" si="1"/>
        <v>598874.29</v>
      </c>
      <c r="AP31" s="245">
        <f t="shared" si="5"/>
        <v>60437.51000000004</v>
      </c>
      <c r="AQ31" s="22">
        <f t="shared" si="6"/>
        <v>538436.78</v>
      </c>
    </row>
    <row r="32" spans="1:43" ht="12.75">
      <c r="A32" s="4">
        <v>25</v>
      </c>
      <c r="B32" s="20">
        <v>25</v>
      </c>
      <c r="C32" s="144">
        <v>28</v>
      </c>
      <c r="D32" s="84" t="s">
        <v>9</v>
      </c>
      <c r="E32" s="73">
        <v>191</v>
      </c>
      <c r="F32" s="73" t="s">
        <v>65</v>
      </c>
      <c r="G32" s="74">
        <v>1968</v>
      </c>
      <c r="H32" s="68">
        <f>'[1]тариф начисл. 2018 с янв'!$I$37</f>
        <v>4394.4</v>
      </c>
      <c r="I32" s="69" t="s">
        <v>40</v>
      </c>
      <c r="J32" s="75">
        <v>20.88</v>
      </c>
      <c r="K32" s="142">
        <v>181236.12000000034</v>
      </c>
      <c r="L32" s="256">
        <f>'[5]УК+ООО'!$K$33</f>
        <v>1040137.08</v>
      </c>
      <c r="M32" s="256">
        <f>'[5]УК+ООО'!$N$33</f>
        <v>1047368.79</v>
      </c>
      <c r="N32" s="256">
        <v>0</v>
      </c>
      <c r="O32" s="258">
        <f t="shared" si="2"/>
        <v>174004.41000000015</v>
      </c>
      <c r="P32" s="86"/>
      <c r="Q32" s="254">
        <f>1292.27+948.39+2219.48</f>
        <v>4460.139999999999</v>
      </c>
      <c r="R32" s="254">
        <f>30924.79+19916.05+42800.69+19070.22+3251.61+6658.44</f>
        <v>122621.8</v>
      </c>
      <c r="S32" s="254">
        <f>28098.86+18579.7+42800.69+19070.22+4606.45+8323.05</f>
        <v>121478.97</v>
      </c>
      <c r="T32" s="254">
        <f t="shared" si="3"/>
        <v>5602.970000000001</v>
      </c>
      <c r="U32" s="15">
        <f>'[2]тариф начисл. 2019 с янв'!$P$38</f>
        <v>3691.3</v>
      </c>
      <c r="V32" s="15">
        <f>'[2]тариф начисл. 2019 с янв'!$O$38+'[2]авг'!$F$38</f>
        <v>66927.59</v>
      </c>
      <c r="W32" s="15">
        <f>'[2]тариф начисл. 2019 с янв'!$N$38</f>
        <v>322197.41</v>
      </c>
      <c r="X32" s="15"/>
      <c r="Y32" s="15"/>
      <c r="Z32" s="15">
        <f>'[2]тариф начисл. 2019 с янв'!$AC$38</f>
        <v>527.33</v>
      </c>
      <c r="AA32" s="15">
        <f>'[2]тариф начисл. 2019 с янв'!$AD$38+'[2]тариф начисл. 2019 с янв'!$AE$38</f>
        <v>49568.84</v>
      </c>
      <c r="AB32" s="15">
        <f>'[2]тариф начисл. 2019 с янв'!$AA$38</f>
        <v>2109.31</v>
      </c>
      <c r="AC32" s="15">
        <f>'[3]тариф начисл. 2020 с янв'!$AB$38+'[3]год'!$F$38</f>
        <v>4293.18</v>
      </c>
      <c r="AD32" s="15">
        <f>'[2]тариф начисл. 2019 с янв'!$Z$38</f>
        <v>46404.86</v>
      </c>
      <c r="AE32" s="15">
        <f>'[2]тариф начисл. 2019 с янв'!$V$38</f>
        <v>170854.27</v>
      </c>
      <c r="AF32" s="15"/>
      <c r="AG32" s="15">
        <f>'[2]тариф начисл. 2019 с янв'!$BA$38</f>
        <v>75935.23</v>
      </c>
      <c r="AH32" s="16">
        <f t="shared" si="7"/>
        <v>742509.32</v>
      </c>
      <c r="AI32" s="261">
        <f>'[4]тариф начисл. 2021 с янв'!$AJ$37+'[4]год'!$R$37</f>
        <v>164359.01</v>
      </c>
      <c r="AJ32" s="261">
        <f>'[2]тариф начисл. 2019 с янв'!$AO$38</f>
        <v>85954.46</v>
      </c>
      <c r="AK32" s="261">
        <f>'[2]тариф начисл. 2019 с янв'!$AS$38+15000</f>
        <v>65096.16</v>
      </c>
      <c r="AL32" s="261">
        <f>'[2]тариф начисл. 2019 с янв'!$AW$38+10000</f>
        <v>54295.55</v>
      </c>
      <c r="AM32" s="261">
        <f>'[2]тариф начисл. 2019 с янв'!$AZ$38</f>
        <v>76989.89</v>
      </c>
      <c r="AN32" s="16">
        <f t="shared" si="4"/>
        <v>446695.07</v>
      </c>
      <c r="AO32" s="16">
        <f t="shared" si="1"/>
        <v>1189204.39</v>
      </c>
      <c r="AP32" s="251">
        <f t="shared" si="5"/>
        <v>20356.62999999986</v>
      </c>
      <c r="AQ32" s="22">
        <f t="shared" si="6"/>
        <v>1168847.76</v>
      </c>
    </row>
    <row r="33" spans="1:43" ht="12.75">
      <c r="A33" s="4">
        <v>26</v>
      </c>
      <c r="B33" s="21">
        <v>26</v>
      </c>
      <c r="C33" s="145">
        <v>29</v>
      </c>
      <c r="D33" s="84" t="s">
        <v>9</v>
      </c>
      <c r="E33" s="73">
        <v>193</v>
      </c>
      <c r="F33" s="73" t="s">
        <v>65</v>
      </c>
      <c r="G33" s="74">
        <v>1967</v>
      </c>
      <c r="H33" s="68">
        <f>'[2]тариф начисл. 2019 с янв'!$I$39</f>
        <v>2713.5</v>
      </c>
      <c r="I33" s="69" t="s">
        <v>40</v>
      </c>
      <c r="J33" s="75">
        <v>20.88</v>
      </c>
      <c r="K33" s="142">
        <v>66632.37999999989</v>
      </c>
      <c r="L33" s="256">
        <f>'[5]УК+ООО'!$K$34</f>
        <v>653460.24</v>
      </c>
      <c r="M33" s="256">
        <f>'[5]УК+ООО'!$N$34</f>
        <v>618556.69</v>
      </c>
      <c r="N33" s="256">
        <v>0</v>
      </c>
      <c r="O33" s="258">
        <f t="shared" si="2"/>
        <v>101535.92999999993</v>
      </c>
      <c r="P33" s="86"/>
      <c r="Q33" s="254">
        <f>11254.97+8537.75+948.39+1553.48</f>
        <v>22294.59</v>
      </c>
      <c r="R33" s="254">
        <f>19433.69+11647.7+16269.84+3251.61+4660.43</f>
        <v>55263.27</v>
      </c>
      <c r="S33" s="254">
        <f>17657.82+14582.33+16000+4606.45+5825.54</f>
        <v>58672.14</v>
      </c>
      <c r="T33" s="254">
        <f t="shared" si="3"/>
        <v>18885.72</v>
      </c>
      <c r="U33" s="15">
        <f>'[2]тариф начисл. 2019 с янв'!$P$39</f>
        <v>2279.34</v>
      </c>
      <c r="V33" s="15">
        <f>'[2]тариф начисл. 2019 с янв'!$O$39+'[2]авг'!$F$39</f>
        <v>52033.53</v>
      </c>
      <c r="W33" s="15">
        <f>'[2]тариф начисл. 2019 с янв'!$N$39</f>
        <v>198953.82</v>
      </c>
      <c r="X33" s="15"/>
      <c r="Y33" s="15"/>
      <c r="Z33" s="15">
        <f>'[2]тариф начисл. 2019 с янв'!$AC$39</f>
        <v>325.62</v>
      </c>
      <c r="AA33" s="15">
        <f>'[2]тариф начисл. 2019 с янв'!$AD$39+'[2]тариф начисл. 2019 с янв'!$AE$39</f>
        <v>30608.28</v>
      </c>
      <c r="AB33" s="15">
        <f>'[2]тариф начисл. 2019 с янв'!$AA$39</f>
        <v>1302.48</v>
      </c>
      <c r="AC33" s="15">
        <f>'[2]тариф начисл. 2019 с янв'!$AB$39+'[3]год'!$F$39</f>
        <v>2526.82</v>
      </c>
      <c r="AD33" s="15">
        <f>'[2]тариф начисл. 2019 с янв'!$Z$39</f>
        <v>28654.56</v>
      </c>
      <c r="AE33" s="15">
        <f>'[2]тариф начисл. 2019 с янв'!$V$39</f>
        <v>105500.88</v>
      </c>
      <c r="AF33" s="15"/>
      <c r="AG33" s="15">
        <f>'[2]тариф начисл. 2019 с янв'!$BA$39</f>
        <v>46889.28</v>
      </c>
      <c r="AH33" s="16">
        <f t="shared" si="7"/>
        <v>469074.61</v>
      </c>
      <c r="AI33" s="261">
        <f>'[4]тариф начисл. 2021 с янв'!$AJ$38+'[4]год'!$R$38</f>
        <v>101627.82</v>
      </c>
      <c r="AJ33" s="261">
        <f>'[2]тариф начисл. 2019 с янв'!$AO$39</f>
        <v>53076.06</v>
      </c>
      <c r="AK33" s="261">
        <f>'[2]тариф начисл. 2019 с янв'!$AS$39</f>
        <v>30933.9</v>
      </c>
      <c r="AL33" s="261">
        <f>'[2]тариф начисл. 2019 с янв'!$AW$39</f>
        <v>27352.08</v>
      </c>
      <c r="AM33" s="261">
        <f>'[2]тариф начисл. 2019 с янв'!$AZ$39</f>
        <v>47540.52</v>
      </c>
      <c r="AN33" s="16">
        <f t="shared" si="4"/>
        <v>260530.37999999998</v>
      </c>
      <c r="AO33" s="16">
        <f t="shared" si="1"/>
        <v>729604.99</v>
      </c>
      <c r="AP33" s="245">
        <f t="shared" si="5"/>
        <v>52376.16000000005</v>
      </c>
      <c r="AQ33" s="22">
        <f t="shared" si="6"/>
        <v>677228.83</v>
      </c>
    </row>
    <row r="34" spans="1:43" ht="12.75">
      <c r="A34" s="4">
        <v>27</v>
      </c>
      <c r="B34" s="21">
        <v>27</v>
      </c>
      <c r="C34" s="144">
        <v>30</v>
      </c>
      <c r="D34" s="84" t="s">
        <v>9</v>
      </c>
      <c r="E34" s="73">
        <v>195</v>
      </c>
      <c r="F34" s="74" t="s">
        <v>32</v>
      </c>
      <c r="G34" s="73">
        <v>1988</v>
      </c>
      <c r="H34" s="68">
        <f>'[1]тариф начисл. 2018 с янв'!$I$39</f>
        <v>2326.2</v>
      </c>
      <c r="I34" s="69" t="s">
        <v>66</v>
      </c>
      <c r="J34" s="139" t="s">
        <v>198</v>
      </c>
      <c r="K34" s="142">
        <v>280788.23</v>
      </c>
      <c r="L34" s="256">
        <f>'[5]УК+ООО'!$K$35</f>
        <v>836958.16</v>
      </c>
      <c r="M34" s="256">
        <f>'[5]УК+ООО'!$N$35</f>
        <v>942773.62</v>
      </c>
      <c r="N34" s="256">
        <v>0</v>
      </c>
      <c r="O34" s="258">
        <f t="shared" si="2"/>
        <v>174972.77000000014</v>
      </c>
      <c r="P34" s="86"/>
      <c r="Q34" s="254">
        <f>1790+17229.28+948.39+1107.37</f>
        <v>21075.039999999997</v>
      </c>
      <c r="R34" s="254">
        <f>11646+91781.74+3251.61+3322.1</f>
        <v>110001.45000000001</v>
      </c>
      <c r="S34" s="254">
        <f>2686+82541.12+4606.45+4152.63</f>
        <v>93986.2</v>
      </c>
      <c r="T34" s="254">
        <f t="shared" si="3"/>
        <v>37090.29000000002</v>
      </c>
      <c r="U34" s="15">
        <f>'[2]тариф начисл. 2019 с янв'!$P$40</f>
        <v>1954.01</v>
      </c>
      <c r="V34" s="15">
        <f>'[2]тариф начисл. 2019 с янв'!$O$40+'[2]авг'!$F$40</f>
        <v>10780.66</v>
      </c>
      <c r="W34" s="15">
        <f>'[2]тариф начисл. 2019 с янв'!$N$40</f>
        <v>170556.98</v>
      </c>
      <c r="X34" s="15">
        <f>'[2]тариф начисл. 2019 с янв'!$BC$40</f>
        <v>67552.85</v>
      </c>
      <c r="Y34" s="15">
        <f>'[4]тариф начисл. 2021 с янв'!$BE$39+'[4]год'!$Z$39</f>
        <v>275837.96</v>
      </c>
      <c r="Z34" s="15">
        <f>'[2]тариф начисл. 2019 с янв'!$AC$40</f>
        <v>279.14</v>
      </c>
      <c r="AA34" s="15">
        <f>'[2]тариф начисл. 2019 с янв'!$AD$40+'[2]тариф начисл. 2019 с янв'!$AE$40</f>
        <v>26239.54</v>
      </c>
      <c r="AB34" s="15">
        <f>'[2]тариф начисл. 2019 с янв'!$AA$40</f>
        <v>1116.58</v>
      </c>
      <c r="AC34" s="15">
        <f>'[2]тариф начисл. 2019 с янв'!$AB$40+'[3]год'!$F$40</f>
        <v>1615.65</v>
      </c>
      <c r="AD34" s="15">
        <f>'[2]тариф начисл. 2019 с янв'!$Z$40+28934.24</f>
        <v>28934.24</v>
      </c>
      <c r="AE34" s="15">
        <f>'[2]тариф начисл. 2019 с янв'!$V$40</f>
        <v>90442.66</v>
      </c>
      <c r="AF34" s="15"/>
      <c r="AG34" s="15">
        <f>'[2]тариф начисл. 2019 с янв'!$BA$40</f>
        <v>40196.74</v>
      </c>
      <c r="AH34" s="16">
        <f t="shared" si="7"/>
        <v>715507.0100000001</v>
      </c>
      <c r="AI34" s="261">
        <f>'[4]тариф начисл. 2021 с янв'!$AJ$39+'[4]год'!$R$39</f>
        <v>108913.78</v>
      </c>
      <c r="AJ34" s="261">
        <f>'[2]тариф начисл. 2019 с янв'!$AO$40+10000</f>
        <v>55500.47</v>
      </c>
      <c r="AK34" s="261">
        <f>'[2]тариф начисл. 2019 с янв'!$AS$40+20000</f>
        <v>69966.78</v>
      </c>
      <c r="AL34" s="261">
        <f>'[4]тариф начисл. 2021 с янв'!$AW$39+15000</f>
        <v>38727.240000000005</v>
      </c>
      <c r="AM34" s="261">
        <f>'[2]тариф начисл. 2019 с янв'!$AZ$40+10000</f>
        <v>50755.02</v>
      </c>
      <c r="AN34" s="16">
        <f t="shared" si="4"/>
        <v>323863.29000000004</v>
      </c>
      <c r="AO34" s="16">
        <f t="shared" si="1"/>
        <v>1039370.3000000002</v>
      </c>
      <c r="AP34" s="251">
        <f t="shared" si="5"/>
        <v>2610.4800000001705</v>
      </c>
      <c r="AQ34" s="22">
        <f t="shared" si="6"/>
        <v>1036759.82</v>
      </c>
    </row>
    <row r="35" spans="1:43" ht="12.75">
      <c r="A35" s="4">
        <v>29</v>
      </c>
      <c r="B35" s="30">
        <v>29</v>
      </c>
      <c r="C35" s="145">
        <v>31</v>
      </c>
      <c r="D35" s="84" t="s">
        <v>9</v>
      </c>
      <c r="E35" s="73" t="s">
        <v>21</v>
      </c>
      <c r="F35" s="73" t="s">
        <v>65</v>
      </c>
      <c r="G35" s="74">
        <v>1976</v>
      </c>
      <c r="H35" s="68">
        <f>'[2]тариф начисл. 2019 с янв'!$I$41</f>
        <v>5414.4</v>
      </c>
      <c r="I35" s="69" t="s">
        <v>40</v>
      </c>
      <c r="J35" s="75">
        <v>20.88</v>
      </c>
      <c r="K35" s="142">
        <v>330015.0499999998</v>
      </c>
      <c r="L35" s="256">
        <f>'[5]УК+ООО'!$K$31</f>
        <v>1342225.44</v>
      </c>
      <c r="M35" s="256">
        <f>'[5]УК+ООО'!$N$31</f>
        <v>1311900.88</v>
      </c>
      <c r="N35" s="256">
        <v>0</v>
      </c>
      <c r="O35" s="258">
        <f t="shared" si="2"/>
        <v>360339.60999999987</v>
      </c>
      <c r="P35" s="86"/>
      <c r="Q35" s="254">
        <f>948.39+2825.33-3194.52</f>
        <v>579.1999999999998</v>
      </c>
      <c r="R35" s="254">
        <f>3251.61+13484.18+7203</f>
        <v>23938.79</v>
      </c>
      <c r="S35" s="254">
        <f>4606.45+14405.07+3497.76</f>
        <v>22509.28</v>
      </c>
      <c r="T35" s="254">
        <f t="shared" si="3"/>
        <v>2008.7100000000028</v>
      </c>
      <c r="U35" s="15">
        <f>'[2]тариф начисл. 2019 с янв'!$P$41</f>
        <v>4548.1</v>
      </c>
      <c r="V35" s="15">
        <f>'[4]тариф начисл. 2021 с янв'!$O$40+'[4]год'!$G$40</f>
        <v>8446.46</v>
      </c>
      <c r="W35" s="15">
        <f>'[2]тариф начисл. 2019 с янв'!$N$41</f>
        <v>396983.81</v>
      </c>
      <c r="X35" s="15"/>
      <c r="Y35" s="15"/>
      <c r="Z35" s="15">
        <f>'[2]тариф начисл. 2019 с янв'!$AC$41</f>
        <v>649.73</v>
      </c>
      <c r="AA35" s="15">
        <f>'[2]тариф начисл. 2019 с янв'!$AD$41+'[2]тариф начисл. 2019 с янв'!$AE$41</f>
        <v>61074.44</v>
      </c>
      <c r="AB35" s="15">
        <f>'[2]тариф начисл. 2019 с янв'!$AA$41</f>
        <v>2598.91</v>
      </c>
      <c r="AC35" s="15">
        <f>'[3]тариф начисл. 2020 с янв'!$AB$41+'[3]год'!$F$41</f>
        <v>5572.58</v>
      </c>
      <c r="AD35" s="15">
        <f>'[2]тариф начисл. 2019 с янв'!$Z$41</f>
        <v>57176.06</v>
      </c>
      <c r="AE35" s="15">
        <f>'[2]тариф начисл. 2019 с янв'!$V$41</f>
        <v>210511.87</v>
      </c>
      <c r="AF35" s="15"/>
      <c r="AG35" s="15">
        <f>'[2]тариф начисл. 2019 с янв'!$BA$41</f>
        <v>93560.83</v>
      </c>
      <c r="AH35" s="16">
        <f t="shared" si="7"/>
        <v>841122.7899999999</v>
      </c>
      <c r="AI35" s="261">
        <f>'[3]тариф начисл. 2020 с янв'!$AJ$41</f>
        <v>202065.41</v>
      </c>
      <c r="AJ35" s="261">
        <f>'[2]тариф начисл. 2019 с янв'!$AO$41</f>
        <v>105905.66</v>
      </c>
      <c r="AK35" s="261">
        <f>'[2]тариф начисл. 2019 с янв'!$AS$41</f>
        <v>61724.16</v>
      </c>
      <c r="AL35" s="261">
        <f>'[2]тариф начисл. 2019 с янв'!$AW$41</f>
        <v>54577.15</v>
      </c>
      <c r="AM35" s="261">
        <f>'[2]тариф начисл. 2019 с янв'!$AZ$41</f>
        <v>94860.29</v>
      </c>
      <c r="AN35" s="16">
        <f t="shared" si="4"/>
        <v>519132.67</v>
      </c>
      <c r="AO35" s="16">
        <f t="shared" si="1"/>
        <v>1360255.46</v>
      </c>
      <c r="AP35" s="245">
        <f t="shared" si="5"/>
        <v>25845.300000000076</v>
      </c>
      <c r="AQ35" s="22">
        <f t="shared" si="6"/>
        <v>1334410.16</v>
      </c>
    </row>
    <row r="36" spans="1:43" ht="12.75">
      <c r="A36" s="4">
        <v>32</v>
      </c>
      <c r="B36" s="21">
        <v>32</v>
      </c>
      <c r="C36" s="144">
        <v>32</v>
      </c>
      <c r="D36" s="84" t="s">
        <v>7</v>
      </c>
      <c r="E36" s="73">
        <v>157</v>
      </c>
      <c r="F36" s="73" t="s">
        <v>65</v>
      </c>
      <c r="G36" s="74">
        <v>1962</v>
      </c>
      <c r="H36" s="68">
        <f>'[1]тариф начисл. 2018 с янв'!$I$41</f>
        <v>4099.5</v>
      </c>
      <c r="I36" s="69" t="s">
        <v>40</v>
      </c>
      <c r="J36" s="75">
        <v>20.88</v>
      </c>
      <c r="K36" s="142">
        <v>215344.2599999999</v>
      </c>
      <c r="L36" s="256">
        <f>'[5]УК+ООО'!$K$46</f>
        <v>972442.35</v>
      </c>
      <c r="M36" s="256">
        <f>'[5]УК+ООО'!$N$46</f>
        <v>1000133.6</v>
      </c>
      <c r="N36" s="256">
        <v>0</v>
      </c>
      <c r="O36" s="258">
        <f t="shared" si="2"/>
        <v>187653.0099999999</v>
      </c>
      <c r="P36" s="86"/>
      <c r="Q36" s="254">
        <f>2857.35-5557.63-4139.75</f>
        <v>-6840.030000000001</v>
      </c>
      <c r="R36" s="254">
        <f>34858.33+13444.34+16669.83</f>
        <v>64972.5</v>
      </c>
      <c r="S36" s="254">
        <f>34803.84+1894.54+12952.87</f>
        <v>49651.25</v>
      </c>
      <c r="T36" s="254">
        <f t="shared" si="3"/>
        <v>8481.220000000001</v>
      </c>
      <c r="U36" s="15">
        <f>'[2]тариф начисл. 2019 с янв'!$P$42</f>
        <v>3443.58</v>
      </c>
      <c r="V36" s="15">
        <f>'[2]тариф начисл. 2019 с янв'!$O$42+'[2]авг'!$F$42</f>
        <v>19498.170000000002</v>
      </c>
      <c r="W36" s="15">
        <f>'[2]тариф начисл. 2019 с янв'!$N$42</f>
        <v>300575.34</v>
      </c>
      <c r="X36" s="15"/>
      <c r="Y36" s="15"/>
      <c r="Z36" s="15">
        <f>'[2]тариф начисл. 2019 с янв'!$AC$42</f>
        <v>491.94</v>
      </c>
      <c r="AA36" s="15">
        <f>'[2]тариф начисл. 2019 с янв'!$AD$42+'[2]тариф начисл. 2019 с янв'!$AE$42</f>
        <v>46242.36</v>
      </c>
      <c r="AB36" s="15">
        <f>'[2]тариф начисл. 2019 с янв'!$AA$42</f>
        <v>1967.76</v>
      </c>
      <c r="AC36" s="15">
        <f>'[2]тариф начисл. 2019 с янв'!$AB$42+'[3]год'!$F$42</f>
        <v>2523.04</v>
      </c>
      <c r="AD36" s="15">
        <f>'[2]тариф начисл. 2019 с янв'!$Z$42</f>
        <v>43290.72</v>
      </c>
      <c r="AE36" s="15">
        <f>'[2]тариф начисл. 2019 с янв'!$V$42</f>
        <v>159388.56</v>
      </c>
      <c r="AF36" s="15"/>
      <c r="AG36" s="15">
        <f>'[2]тариф начисл. 2019 с янв'!$BA$42</f>
        <v>70839.36</v>
      </c>
      <c r="AH36" s="16">
        <f t="shared" si="7"/>
        <v>648260.83</v>
      </c>
      <c r="AI36" s="261">
        <f>'[4]тариф начисл. 2021 с янв'!$AJ$41+'[4]год'!$Q$41</f>
        <v>229697.34</v>
      </c>
      <c r="AJ36" s="261">
        <f>'[2]тариф начисл. 2019 с янв'!$AO$42</f>
        <v>80186.22</v>
      </c>
      <c r="AK36" s="261">
        <f>'[2]тариф начисл. 2019 с янв'!$AS$42</f>
        <v>46734.3</v>
      </c>
      <c r="AL36" s="261">
        <f>'[2]тариф начисл. 2019 с янв'!$AW$42</f>
        <v>41322.96</v>
      </c>
      <c r="AM36" s="261">
        <f>'[2]тариф начисл. 2019 с янв'!$AZ$42</f>
        <v>71823.24</v>
      </c>
      <c r="AN36" s="16">
        <f t="shared" si="4"/>
        <v>469764.06</v>
      </c>
      <c r="AO36" s="16">
        <f aca="true" t="shared" si="8" ref="AO36:AO84">AH36+AN36</f>
        <v>1118024.89</v>
      </c>
      <c r="AP36" s="252">
        <f t="shared" si="5"/>
        <v>68240.03999999992</v>
      </c>
      <c r="AQ36" s="22">
        <f t="shared" si="6"/>
        <v>1049784.85</v>
      </c>
    </row>
    <row r="37" spans="1:43" ht="12.75">
      <c r="A37" s="4">
        <v>33</v>
      </c>
      <c r="B37" s="30">
        <v>33</v>
      </c>
      <c r="C37" s="145">
        <v>33</v>
      </c>
      <c r="D37" s="84" t="s">
        <v>7</v>
      </c>
      <c r="E37" s="73">
        <v>161</v>
      </c>
      <c r="F37" s="74" t="s">
        <v>32</v>
      </c>
      <c r="G37" s="73">
        <v>1967</v>
      </c>
      <c r="H37" s="68">
        <f>'[1]тариф начисл. 2018 с янв'!$I$42</f>
        <v>3116.6</v>
      </c>
      <c r="I37" s="69" t="s">
        <v>40</v>
      </c>
      <c r="J37" s="75">
        <v>20.88</v>
      </c>
      <c r="K37" s="142">
        <v>310141.4899999999</v>
      </c>
      <c r="L37" s="256">
        <f>'[5]УК+ООО'!$K$47</f>
        <v>747645.72</v>
      </c>
      <c r="M37" s="256">
        <f>'[5]УК+ООО'!$N$47</f>
        <v>724792.05</v>
      </c>
      <c r="N37" s="256">
        <v>0</v>
      </c>
      <c r="O37" s="258">
        <f t="shared" si="2"/>
        <v>332995.1599999999</v>
      </c>
      <c r="P37" s="86"/>
      <c r="Q37" s="254">
        <f>27178.03-931.34-1625.61</f>
        <v>24621.079999999998</v>
      </c>
      <c r="R37" s="254">
        <f>22815.82+13765.25+19972.45</f>
        <v>56553.520000000004</v>
      </c>
      <c r="S37" s="254">
        <f>21660.94+12669.8+19999.65</f>
        <v>54330.39</v>
      </c>
      <c r="T37" s="254">
        <f t="shared" si="3"/>
        <v>26844.210000000006</v>
      </c>
      <c r="U37" s="15">
        <f>'[2]тариф начисл. 2019 с янв'!$P$43</f>
        <v>2617.94</v>
      </c>
      <c r="V37" s="15">
        <f>'[2]тариф начисл. 2019 с янв'!$O$43+'[2]авг'!$F$43</f>
        <v>58781.590000000004</v>
      </c>
      <c r="W37" s="15">
        <f>'[2]тариф начисл. 2019 с янв'!$N$43</f>
        <v>228509.11</v>
      </c>
      <c r="X37" s="15"/>
      <c r="Y37" s="15"/>
      <c r="Z37" s="15">
        <f>'[2]тариф начисл. 2019 с янв'!$AC$43</f>
        <v>373.99</v>
      </c>
      <c r="AA37" s="15">
        <f>'[2]тариф начисл. 2019 с янв'!$AD$43+'[2]тариф начисл. 2019 с янв'!$AE$43</f>
        <v>35155.24</v>
      </c>
      <c r="AB37" s="15">
        <f>'[2]тариф начисл. 2019 с янв'!$AA$43</f>
        <v>1495.97</v>
      </c>
      <c r="AC37" s="15">
        <f>'[3]тариф начисл. 2020 с янв'!$AB$43+'[3]год'!$F$43</f>
        <v>8079.610000000001</v>
      </c>
      <c r="AD37" s="15">
        <f>'[2]тариф начисл. 2019 с янв'!$Z$43</f>
        <v>32911.3</v>
      </c>
      <c r="AE37" s="15">
        <f>'[2]тариф начисл. 2019 с янв'!$V$43</f>
        <v>121173.41</v>
      </c>
      <c r="AF37" s="15"/>
      <c r="AG37" s="15">
        <f>'[2]тариф начисл. 2019 с янв'!$BA$43</f>
        <v>53854.85</v>
      </c>
      <c r="AH37" s="16">
        <f t="shared" si="7"/>
        <v>542953.0099999999</v>
      </c>
      <c r="AI37" s="261">
        <f>'[4]тариф начисл. 2021 с янв'!$AJ$42+'[4]год'!$R$42</f>
        <v>128466.51</v>
      </c>
      <c r="AJ37" s="261">
        <f>'[2]тариф начисл. 2019 с янв'!$AO$43</f>
        <v>60960.7</v>
      </c>
      <c r="AK37" s="261">
        <f>'[2]тариф начисл. 2019 с янв'!$AS$43</f>
        <v>35529.24</v>
      </c>
      <c r="AL37" s="261">
        <f>'[2]тариф начисл. 2019 с янв'!$AW$43</f>
        <v>31415.33</v>
      </c>
      <c r="AM37" s="261">
        <f>'[2]тариф начисл. 2019 с янв'!$AZ$43</f>
        <v>54602.83</v>
      </c>
      <c r="AN37" s="16">
        <f t="shared" si="4"/>
        <v>310974.61</v>
      </c>
      <c r="AO37" s="16">
        <f t="shared" si="8"/>
        <v>853927.6199999999</v>
      </c>
      <c r="AP37" s="245">
        <f t="shared" si="5"/>
        <v>74805.17999999983</v>
      </c>
      <c r="AQ37" s="22">
        <f t="shared" si="6"/>
        <v>779122.4400000001</v>
      </c>
    </row>
    <row r="38" spans="1:43" ht="12.75">
      <c r="A38" s="4">
        <v>34</v>
      </c>
      <c r="B38" s="31">
        <v>34</v>
      </c>
      <c r="C38" s="144">
        <v>34</v>
      </c>
      <c r="D38" s="84" t="s">
        <v>7</v>
      </c>
      <c r="E38" s="73">
        <v>163</v>
      </c>
      <c r="F38" s="74" t="s">
        <v>32</v>
      </c>
      <c r="G38" s="73">
        <v>1967</v>
      </c>
      <c r="H38" s="68">
        <f>'[1]тариф начисл. 2018 с янв'!$I$43</f>
        <v>3101.6</v>
      </c>
      <c r="I38" s="69" t="s">
        <v>40</v>
      </c>
      <c r="J38" s="75">
        <v>20.88</v>
      </c>
      <c r="K38" s="142">
        <v>364177.26</v>
      </c>
      <c r="L38" s="256">
        <f>'[5]УК+ООО'!$K$49</f>
        <v>777212.04</v>
      </c>
      <c r="M38" s="256">
        <f>'[5]УК+ООО'!$N$49</f>
        <v>827248.32</v>
      </c>
      <c r="N38" s="256">
        <v>0</v>
      </c>
      <c r="O38" s="258">
        <f t="shared" si="2"/>
        <v>314140.9800000001</v>
      </c>
      <c r="P38" s="86"/>
      <c r="Q38" s="254">
        <v>0</v>
      </c>
      <c r="R38" s="254">
        <f>6392.93+3537.5</f>
        <v>9930.43</v>
      </c>
      <c r="S38" s="254">
        <f>905.6+3187.5</f>
        <v>4093.1</v>
      </c>
      <c r="T38" s="254">
        <f t="shared" si="3"/>
        <v>5837.33</v>
      </c>
      <c r="U38" s="15">
        <f>'[2]тариф начисл. 2019 с янв'!$P$44</f>
        <v>2605.34</v>
      </c>
      <c r="V38" s="15">
        <f>'[2]тариф начисл. 2019 с янв'!$O$44+'[2]авг'!$F$44</f>
        <v>17891.65</v>
      </c>
      <c r="W38" s="15">
        <f>'[2]тариф начисл. 2019 с янв'!$N$44</f>
        <v>227409.31</v>
      </c>
      <c r="X38" s="15"/>
      <c r="Y38" s="15"/>
      <c r="Z38" s="15">
        <f>'[2]тариф начисл. 2019 с янв'!$AC$44</f>
        <v>372.19</v>
      </c>
      <c r="AA38" s="15">
        <f>'[2]тариф начисл. 2019 с янв'!$AD$44+'[2]тариф начисл. 2019 с янв'!$AE$44</f>
        <v>34986.04</v>
      </c>
      <c r="AB38" s="15">
        <f>'[2]тариф начисл. 2019 с янв'!$AA$44</f>
        <v>1488.77</v>
      </c>
      <c r="AC38" s="15">
        <f>'[3]тариф начисл. 2020 с янв'!$AB$44+'[3]год'!$F$44</f>
        <v>4952.38</v>
      </c>
      <c r="AD38" s="15">
        <f>'[2]тариф начисл. 2019 с янв'!$Z$44+R38</f>
        <v>42683.33</v>
      </c>
      <c r="AE38" s="15">
        <f>'[2]тариф начисл. 2019 с янв'!$V$44</f>
        <v>120590.21</v>
      </c>
      <c r="AF38" s="15"/>
      <c r="AG38" s="15">
        <f>'[2]тариф начисл. 2019 с янв'!$BA$44</f>
        <v>53595.65</v>
      </c>
      <c r="AH38" s="16">
        <f t="shared" si="7"/>
        <v>506574.87000000005</v>
      </c>
      <c r="AI38" s="261">
        <f>'[4]тариф начисл. 2021 с янв'!$AJ$43+'[4]год'!$R$43</f>
        <v>127906.71</v>
      </c>
      <c r="AJ38" s="261">
        <f>'[2]тариф начисл. 2019 с янв'!$AO$44+8000</f>
        <v>68667.3</v>
      </c>
      <c r="AK38" s="261">
        <f>'[2]тариф начисл. 2019 с янв'!$AS$44+12000</f>
        <v>47358.24</v>
      </c>
      <c r="AL38" s="261">
        <f>'[2]тариф начисл. 2019 с янв'!$AW$44+8000</f>
        <v>39264.130000000005</v>
      </c>
      <c r="AM38" s="261">
        <f>'[2]тариф начисл. 2019 с янв'!$AZ$44</f>
        <v>54340.03</v>
      </c>
      <c r="AN38" s="16">
        <f t="shared" si="4"/>
        <v>337536.41000000003</v>
      </c>
      <c r="AO38" s="16">
        <f t="shared" si="8"/>
        <v>844111.28</v>
      </c>
      <c r="AP38" s="250">
        <f t="shared" si="5"/>
        <v>12769.860000000079</v>
      </c>
      <c r="AQ38" s="22">
        <f t="shared" si="6"/>
        <v>831341.4199999999</v>
      </c>
    </row>
    <row r="39" spans="1:43" ht="12.75">
      <c r="A39" s="4"/>
      <c r="B39" s="31"/>
      <c r="C39" s="145">
        <v>35</v>
      </c>
      <c r="D39" s="84" t="s">
        <v>7</v>
      </c>
      <c r="E39" s="83" t="s">
        <v>81</v>
      </c>
      <c r="F39" s="74" t="s">
        <v>32</v>
      </c>
      <c r="G39" s="73">
        <v>1968</v>
      </c>
      <c r="H39" s="68">
        <f>'[4]тариф начисл. 2021 с янв'!$G$44+'[4]тариф начисл. 2021 с янв'!$H$44</f>
        <v>1919.2</v>
      </c>
      <c r="I39" s="85" t="s">
        <v>40</v>
      </c>
      <c r="J39" s="75">
        <v>33.19</v>
      </c>
      <c r="K39" s="142">
        <v>187962.77999999997</v>
      </c>
      <c r="L39" s="256">
        <f>'[5]УК+ООО'!$K$48</f>
        <v>543612</v>
      </c>
      <c r="M39" s="256">
        <f>'[5]УК+ООО'!$N$48</f>
        <v>522235.68</v>
      </c>
      <c r="N39" s="256">
        <v>0</v>
      </c>
      <c r="O39" s="258">
        <f t="shared" si="2"/>
        <v>209339.10000000003</v>
      </c>
      <c r="P39" s="86"/>
      <c r="Q39" s="254">
        <v>0</v>
      </c>
      <c r="R39" s="254">
        <v>216675.74</v>
      </c>
      <c r="S39" s="254">
        <v>216675.74</v>
      </c>
      <c r="T39" s="254">
        <v>0</v>
      </c>
      <c r="U39" s="15">
        <f>'[4]тариф начисл. 2021 с янв'!$P$44</f>
        <v>1612.13</v>
      </c>
      <c r="V39" s="15">
        <f>'[4]тариф начисл. 2021 с янв'!$O$44+'[4]год'!$G$44</f>
        <v>29538.49</v>
      </c>
      <c r="W39" s="15">
        <f>'[4]тариф начисл. 2021 с янв'!$N$44</f>
        <v>217176.67</v>
      </c>
      <c r="X39" s="15"/>
      <c r="Y39" s="15"/>
      <c r="Z39" s="15">
        <f>'[4]тариф начисл. 2021 с янв'!$AC$44</f>
        <v>230.3</v>
      </c>
      <c r="AA39" s="15">
        <f>'[4]тариф начисл. 2021 с янв'!$AD$44+'[4]тариф начисл. 2021 с янв'!$AE$44</f>
        <v>48363.84</v>
      </c>
      <c r="AB39" s="15">
        <f>'[4]тариф начисл. 2021 с янв'!$AA$44</f>
        <v>921.22</v>
      </c>
      <c r="AC39" s="15">
        <f>'[4]тариф начисл. 2021 с янв'!$AB$44</f>
        <v>690.91</v>
      </c>
      <c r="AD39" s="15">
        <f>'[4]тариф начисл. 2021 с янв'!$Y$44</f>
        <v>20266.75</v>
      </c>
      <c r="AE39" s="15">
        <f>'[4]тариф начисл. 2021 с янв'!$V$44</f>
        <v>117224.74</v>
      </c>
      <c r="AF39" s="15"/>
      <c r="AG39" s="15">
        <f>'[4]тариф начисл. 2021 с янв'!$BA$44</f>
        <v>50666.88</v>
      </c>
      <c r="AH39" s="16">
        <f t="shared" si="7"/>
        <v>486691.92999999993</v>
      </c>
      <c r="AI39" s="261">
        <f>'[4]тариф начисл. 2021 с янв'!$AJ$44</f>
        <v>108473.18</v>
      </c>
      <c r="AJ39" s="261">
        <f>'[4]тариф начисл. 2021 с янв'!$AO$44</f>
        <v>58957.82</v>
      </c>
      <c r="AK39" s="261">
        <f>'[4]тариф начисл. 2021 с янв'!$AS$44</f>
        <v>57115.39</v>
      </c>
      <c r="AL39" s="261">
        <f>'[4]тариф начисл. 2021 с янв'!$AW$44</f>
        <v>28327.39</v>
      </c>
      <c r="AM39" s="261">
        <f>'[4]тариф начисл. 2021 с янв'!$AZ$44</f>
        <v>51357.79</v>
      </c>
      <c r="AN39" s="16">
        <f t="shared" si="4"/>
        <v>304231.57</v>
      </c>
      <c r="AO39" s="16">
        <f t="shared" si="8"/>
        <v>790923.5</v>
      </c>
      <c r="AP39" s="246">
        <f t="shared" si="5"/>
        <v>52012.080000000016</v>
      </c>
      <c r="AQ39" s="22">
        <f t="shared" si="6"/>
        <v>738911.4199999999</v>
      </c>
    </row>
    <row r="40" spans="1:43" ht="12.75">
      <c r="A40" s="4">
        <v>35</v>
      </c>
      <c r="B40" s="21">
        <v>35</v>
      </c>
      <c r="C40" s="144">
        <v>36</v>
      </c>
      <c r="D40" s="84" t="s">
        <v>7</v>
      </c>
      <c r="E40" s="74" t="s">
        <v>22</v>
      </c>
      <c r="F40" s="74" t="s">
        <v>33</v>
      </c>
      <c r="G40" s="74">
        <v>1983</v>
      </c>
      <c r="H40" s="68">
        <f>'[2]тариф начисл. 2019 с янв'!$I$46</f>
        <v>2246</v>
      </c>
      <c r="I40" s="69" t="s">
        <v>40</v>
      </c>
      <c r="J40" s="75">
        <v>20.88</v>
      </c>
      <c r="K40" s="142">
        <v>108978</v>
      </c>
      <c r="L40" s="256">
        <f>'[5]УК+ООО'!$K$50</f>
        <v>545244</v>
      </c>
      <c r="M40" s="256">
        <f>'[5]УК+ООО'!$N$50</f>
        <v>535448.51</v>
      </c>
      <c r="N40" s="256">
        <v>0</v>
      </c>
      <c r="O40" s="258">
        <f t="shared" si="2"/>
        <v>118773.48999999999</v>
      </c>
      <c r="P40" s="86"/>
      <c r="Q40" s="254">
        <v>52778.44</v>
      </c>
      <c r="R40" s="254">
        <f>4490.28+3537.5+17885.86</f>
        <v>25913.64</v>
      </c>
      <c r="S40" s="254">
        <f>636.08+3187.5+0</f>
        <v>3823.58</v>
      </c>
      <c r="T40" s="254">
        <f t="shared" si="3"/>
        <v>74868.5</v>
      </c>
      <c r="U40" s="15">
        <f>'[2]тариф начисл. 2019 с янв'!$P$46</f>
        <v>1886.64</v>
      </c>
      <c r="V40" s="15">
        <f>'[2]тариф начисл. 2019 с янв'!$O$46+'[2]авг'!$F$46</f>
        <v>41242.23</v>
      </c>
      <c r="W40" s="15">
        <f>'[2]тариф начисл. 2019 с янв'!$N$46</f>
        <v>164676.72</v>
      </c>
      <c r="X40" s="15"/>
      <c r="Y40" s="15"/>
      <c r="Z40" s="15">
        <f>'[2]тариф начисл. 2019 с янв'!$AC$46</f>
        <v>269.52</v>
      </c>
      <c r="AA40" s="15">
        <f>'[2]тариф начисл. 2019 с янв'!$AD$46+'[2]тариф начисл. 2019 с янв'!$AE$46</f>
        <v>25334.88</v>
      </c>
      <c r="AB40" s="15">
        <f>'[2]тариф начисл. 2019 с янв'!$AA$46</f>
        <v>1078.08</v>
      </c>
      <c r="AC40" s="15">
        <f>'[2]тариф начисл. 2019 с янв'!$AB$46+'[3]год'!$F$46</f>
        <v>2107.16</v>
      </c>
      <c r="AD40" s="15">
        <f>'[2]тариф начисл. 2019 с янв'!$Z$46</f>
        <v>23717.76</v>
      </c>
      <c r="AE40" s="15">
        <f>'[2]тариф начисл. 2019 с янв'!$V$46</f>
        <v>87324.48</v>
      </c>
      <c r="AF40" s="15"/>
      <c r="AG40" s="15">
        <f>'[2]тариф начисл. 2019 с янв'!$BA$46</f>
        <v>38810.88</v>
      </c>
      <c r="AH40" s="16">
        <f t="shared" si="7"/>
        <v>386448.35</v>
      </c>
      <c r="AI40" s="261">
        <f>'[2]тариф начисл. 2019 с янв'!$AJ$46</f>
        <v>83820.72</v>
      </c>
      <c r="AJ40" s="261">
        <f>'[2]тариф начисл. 2019 с янв'!$AO$46</f>
        <v>43931.76</v>
      </c>
      <c r="AK40" s="261">
        <f>'[2]тариф начисл. 2019 с янв'!$AS$46</f>
        <v>25604.4</v>
      </c>
      <c r="AL40" s="261">
        <f>'[2]тариф начисл. 2019 с янв'!$AW$46</f>
        <v>22639.68</v>
      </c>
      <c r="AM40" s="261">
        <f>'[4]тариф начисл. 2021 с янв'!$AZ$45</f>
        <v>39349.92</v>
      </c>
      <c r="AN40" s="16">
        <f t="shared" si="4"/>
        <v>215346.47999999998</v>
      </c>
      <c r="AO40" s="16">
        <f t="shared" si="8"/>
        <v>601794.83</v>
      </c>
      <c r="AP40" s="250">
        <f t="shared" si="5"/>
        <v>62522.73999999995</v>
      </c>
      <c r="AQ40" s="22">
        <f t="shared" si="6"/>
        <v>539272.09</v>
      </c>
    </row>
    <row r="41" spans="1:43" ht="12.75">
      <c r="A41" s="4">
        <v>36</v>
      </c>
      <c r="B41" s="21">
        <v>36</v>
      </c>
      <c r="C41" s="145">
        <v>37</v>
      </c>
      <c r="D41" s="84" t="s">
        <v>6</v>
      </c>
      <c r="E41" s="73">
        <v>4</v>
      </c>
      <c r="F41" s="73" t="s">
        <v>65</v>
      </c>
      <c r="G41" s="74">
        <v>1968</v>
      </c>
      <c r="H41" s="68">
        <f>'[1]тариф начисл. 2018 с янв'!$I$46</f>
        <v>4409.2</v>
      </c>
      <c r="I41" s="69" t="s">
        <v>40</v>
      </c>
      <c r="J41" s="75">
        <v>20.88</v>
      </c>
      <c r="K41" s="142">
        <v>229058.59999999986</v>
      </c>
      <c r="L41" s="256">
        <f>'[5]УК+ООО'!$K$69</f>
        <v>1104715.47</v>
      </c>
      <c r="M41" s="256">
        <f>'[5]УК+ООО'!$N$69</f>
        <v>1024273.7</v>
      </c>
      <c r="N41" s="256">
        <v>0</v>
      </c>
      <c r="O41" s="258">
        <f t="shared" si="2"/>
        <v>309500.3699999999</v>
      </c>
      <c r="P41" s="86"/>
      <c r="Q41" s="254">
        <v>948.39</v>
      </c>
      <c r="R41" s="254">
        <f>35077.54+3251.61</f>
        <v>38329.15</v>
      </c>
      <c r="S41" s="254">
        <f>35077.54+4606.45</f>
        <v>39683.99</v>
      </c>
      <c r="T41" s="254">
        <f t="shared" si="3"/>
        <v>-406.4499999999971</v>
      </c>
      <c r="U41" s="15">
        <f>'[2]тариф начисл. 2019 с янв'!$P$47</f>
        <v>3703.73</v>
      </c>
      <c r="V41" s="15">
        <f>'[2]тариф начисл. 2019 с янв'!$O$47+'[2]авг'!$F$47</f>
        <v>55762.75</v>
      </c>
      <c r="W41" s="15">
        <f>'[2]тариф начисл. 2019 с янв'!$N$47</f>
        <v>323282.54</v>
      </c>
      <c r="X41" s="15"/>
      <c r="Y41" s="15"/>
      <c r="Z41" s="15">
        <f>'[2]тариф начисл. 2019 с янв'!$AC$47</f>
        <v>529.1</v>
      </c>
      <c r="AA41" s="15">
        <f>'[2]тариф начисл. 2019 с янв'!$AD$47+'[2]тариф начисл. 2019 с янв'!$AE$47</f>
        <v>49735.78</v>
      </c>
      <c r="AB41" s="15">
        <f>'[2]тариф начисл. 2019 с янв'!$AA$47</f>
        <v>2116.42</v>
      </c>
      <c r="AC41" s="15">
        <f>'[3]тариф начисл. 2020 с янв'!$AB$47+'[3]год'!$F$47</f>
        <v>3423.91</v>
      </c>
      <c r="AD41" s="15">
        <f>'[2]тариф начисл. 2019 с янв'!$Z$47</f>
        <v>46561.15</v>
      </c>
      <c r="AE41" s="15">
        <f>'[2]тариф начисл. 2019 с янв'!$V$47</f>
        <v>171429.7</v>
      </c>
      <c r="AF41" s="15"/>
      <c r="AG41" s="15">
        <f>'[2]тариф начисл. 2019 с янв'!$BA$47</f>
        <v>76190.98</v>
      </c>
      <c r="AH41" s="16">
        <f t="shared" si="7"/>
        <v>732736.0599999998</v>
      </c>
      <c r="AI41" s="261">
        <f>'[3]тариф начисл. 2020 с янв'!$AJ$47</f>
        <v>164551.34</v>
      </c>
      <c r="AJ41" s="261">
        <f>'[2]тариф начисл. 2019 с янв'!$AO$47</f>
        <v>86243.95</v>
      </c>
      <c r="AK41" s="261">
        <f>'[2]тариф начисл. 2019 с янв'!$AS$47</f>
        <v>50264.88</v>
      </c>
      <c r="AL41" s="261">
        <f>'[2]тариф начисл. 2019 с янв'!$AW$47</f>
        <v>44444.74</v>
      </c>
      <c r="AM41" s="261">
        <f>'[2]тариф начисл. 2019 с янв'!$AZ$47</f>
        <v>77249.18</v>
      </c>
      <c r="AN41" s="16">
        <f t="shared" si="4"/>
        <v>422754.08999999997</v>
      </c>
      <c r="AO41" s="16">
        <f t="shared" si="8"/>
        <v>1155490.15</v>
      </c>
      <c r="AP41" s="246">
        <f t="shared" si="5"/>
        <v>91532.45999999996</v>
      </c>
      <c r="AQ41" s="22">
        <f t="shared" si="6"/>
        <v>1063957.69</v>
      </c>
    </row>
    <row r="42" spans="1:43" ht="12.75">
      <c r="A42" s="4">
        <v>37</v>
      </c>
      <c r="B42" s="20">
        <v>37</v>
      </c>
      <c r="C42" s="144">
        <v>38</v>
      </c>
      <c r="D42" s="84" t="s">
        <v>6</v>
      </c>
      <c r="E42" s="73">
        <v>6</v>
      </c>
      <c r="F42" s="73" t="s">
        <v>65</v>
      </c>
      <c r="G42" s="74">
        <v>1968</v>
      </c>
      <c r="H42" s="68">
        <f>'[1]тариф начисл. 2018 с янв'!$I$47</f>
        <v>2688.6</v>
      </c>
      <c r="I42" s="69" t="s">
        <v>40</v>
      </c>
      <c r="J42" s="75">
        <v>20.88</v>
      </c>
      <c r="K42" s="142">
        <v>162400.08000000007</v>
      </c>
      <c r="L42" s="256">
        <f>'[5]УК+ООО'!$K$73</f>
        <v>650863.04</v>
      </c>
      <c r="M42" s="256">
        <f>'[5]УК+ООО'!$N$73</f>
        <v>653304.43</v>
      </c>
      <c r="N42" s="256">
        <v>0</v>
      </c>
      <c r="O42" s="258">
        <f t="shared" si="2"/>
        <v>159958.69000000006</v>
      </c>
      <c r="P42" s="86"/>
      <c r="Q42" s="254">
        <f>948.39+1553.48+0</f>
        <v>2501.87</v>
      </c>
      <c r="R42" s="254">
        <f>20909.85+3251.61+4660.43+35742.73</f>
        <v>64564.62</v>
      </c>
      <c r="S42" s="254">
        <f>20909.85+4606.45+5825.54+24002.35</f>
        <v>55344.19</v>
      </c>
      <c r="T42" s="254">
        <f t="shared" si="3"/>
        <v>11722.300000000003</v>
      </c>
      <c r="U42" s="15">
        <f>'[2]тариф начисл. 2019 с янв'!$P$48</f>
        <v>2258.42</v>
      </c>
      <c r="V42" s="15">
        <f>'[2]тариф начисл. 2019 с янв'!$O$48+'[2]авг'!$F$48</f>
        <v>60403.24</v>
      </c>
      <c r="W42" s="15">
        <f>'[2]тариф начисл. 2019 с янв'!$N$48</f>
        <v>197128.15</v>
      </c>
      <c r="X42" s="15"/>
      <c r="Y42" s="15"/>
      <c r="Z42" s="15">
        <f>'[2]тариф начисл. 2019 с янв'!$AC$48</f>
        <v>322.63</v>
      </c>
      <c r="AA42" s="15">
        <f>'[2]тариф начисл. 2019 с янв'!$AD$48+'[2]тариф начисл. 2019 с янв'!$AE$48</f>
        <v>30327.4</v>
      </c>
      <c r="AB42" s="15">
        <f>'[2]тариф начисл. 2019 с янв'!$AA$48</f>
        <v>1290.53</v>
      </c>
      <c r="AC42" s="15">
        <f>'[3]тариф начисл. 2020 с янв'!$AB$48+'[3]год'!$F$48</f>
        <v>2083.34</v>
      </c>
      <c r="AD42" s="15">
        <f>'[2]тариф начисл. 2019 с янв'!$Z$48</f>
        <v>28391.62</v>
      </c>
      <c r="AE42" s="15">
        <f>'[2]тариф начисл. 2019 с янв'!$V$48</f>
        <v>104532.77</v>
      </c>
      <c r="AF42" s="15"/>
      <c r="AG42" s="15">
        <f>'[2]тариф начисл. 2019 с янв'!$BA$48</f>
        <v>46459.01</v>
      </c>
      <c r="AH42" s="16">
        <f t="shared" si="7"/>
        <v>473197.1100000001</v>
      </c>
      <c r="AI42" s="261">
        <f>'[4]тариф начисл. 2021 с янв'!$AJ$47+'[4]год'!$R$47</f>
        <v>105353.55</v>
      </c>
      <c r="AJ42" s="261">
        <f>'[2]тариф начисл. 2019 с янв'!$AO$48</f>
        <v>52589.02</v>
      </c>
      <c r="AK42" s="261">
        <f>'[2]тариф начисл. 2019 с янв'!$AS$48</f>
        <v>30650.04</v>
      </c>
      <c r="AL42" s="261">
        <f>'[2]тариф начисл. 2019 с янв'!$AW$48</f>
        <v>27101.09</v>
      </c>
      <c r="AM42" s="261">
        <f>'[2]тариф начисл. 2019 с янв'!$AZ$48</f>
        <v>47104.27</v>
      </c>
      <c r="AN42" s="16">
        <f t="shared" si="4"/>
        <v>262797.97000000003</v>
      </c>
      <c r="AO42" s="16">
        <f t="shared" si="8"/>
        <v>735995.0800000001</v>
      </c>
      <c r="AP42" s="245">
        <f t="shared" si="5"/>
        <v>27346.46000000002</v>
      </c>
      <c r="AQ42" s="22">
        <f t="shared" si="6"/>
        <v>708648.6200000001</v>
      </c>
    </row>
    <row r="43" spans="1:43" ht="12.75">
      <c r="A43" s="4"/>
      <c r="B43" s="20"/>
      <c r="C43" s="144">
        <v>39</v>
      </c>
      <c r="D43" s="84" t="s">
        <v>6</v>
      </c>
      <c r="E43" s="83" t="s">
        <v>104</v>
      </c>
      <c r="F43" s="73" t="s">
        <v>65</v>
      </c>
      <c r="G43" s="74">
        <v>1994</v>
      </c>
      <c r="H43" s="68">
        <f>'[1]тариф начисл. 2018 с янв'!$I$48</f>
        <v>1587.5</v>
      </c>
      <c r="I43" s="69" t="s">
        <v>40</v>
      </c>
      <c r="J43" s="139" t="s">
        <v>199</v>
      </c>
      <c r="K43" s="142">
        <v>65846.18999999994</v>
      </c>
      <c r="L43" s="259">
        <f>'[5]ПОБЕДЫ 6А 2 п.'!$I$36</f>
        <v>564825.84</v>
      </c>
      <c r="M43" s="257">
        <v>556037.08</v>
      </c>
      <c r="N43" s="256">
        <v>0</v>
      </c>
      <c r="O43" s="258">
        <f t="shared" si="2"/>
        <v>74634.94999999995</v>
      </c>
      <c r="P43" s="86"/>
      <c r="Q43" s="254">
        <v>0</v>
      </c>
      <c r="R43" s="254">
        <v>0</v>
      </c>
      <c r="S43" s="254">
        <v>0</v>
      </c>
      <c r="T43" s="254">
        <f t="shared" si="3"/>
        <v>0</v>
      </c>
      <c r="U43" s="15">
        <f>'[2]тариф начисл. 2019 с янв'!$P$49</f>
        <v>1333.5</v>
      </c>
      <c r="V43" s="15">
        <f>'[4]тариф начисл. 2021 с янв'!$O$48</f>
        <v>2476.5</v>
      </c>
      <c r="W43" s="15">
        <f>'[2]тариф начисл. 2019 с янв'!$N$49</f>
        <v>116395.5</v>
      </c>
      <c r="X43" s="15"/>
      <c r="Y43" s="15">
        <f>'[4]тариф начисл. 2021 с янв'!$BE$48+'[4]год'!$Z$48</f>
        <v>161552.72</v>
      </c>
      <c r="Z43" s="15">
        <f>'[2]тариф начисл. 2019 с янв'!$AC$49</f>
        <v>190.5</v>
      </c>
      <c r="AA43" s="15">
        <f>'[4]тариф начисл. 2021 с янв'!$AD$48+'[4]тариф начисл. 2021 с янв'!$AE$48</f>
        <v>17907</v>
      </c>
      <c r="AB43" s="15">
        <f>'[2]тариф начисл. 2019 с янв'!$AA$49</f>
        <v>762</v>
      </c>
      <c r="AC43" s="15">
        <f>'[2]тариф начисл. 2019 с янв'!$AB$49+'[3]год'!$F$49</f>
        <v>1348.8400000000001</v>
      </c>
      <c r="AD43" s="15">
        <f>'[2]тариф начисл. 2019 с янв'!$Z$49</f>
        <v>16764</v>
      </c>
      <c r="AE43" s="15">
        <f>'[2]тариф начисл. 2019 с янв'!$V$49</f>
        <v>61722</v>
      </c>
      <c r="AF43" s="15"/>
      <c r="AG43" s="15">
        <f>'[2]тариф начисл. 2019 с янв'!$BA$49</f>
        <v>27432</v>
      </c>
      <c r="AH43" s="16">
        <f>SUM(U43:AG43)</f>
        <v>407884.56</v>
      </c>
      <c r="AI43" s="261">
        <f>'[4]тариф начисл. 2021 с янв'!$AJ$48</f>
        <v>59245.5</v>
      </c>
      <c r="AJ43" s="261">
        <f>'[4]тариф начисл. 2021 с янв'!$AO$48</f>
        <v>31051.5</v>
      </c>
      <c r="AK43" s="261">
        <f>'[2]тариф начисл. 2019 с янв'!$AS$49</f>
        <v>34099.5</v>
      </c>
      <c r="AL43" s="261">
        <f>'[2]тариф начисл. 2019 с янв'!$AW$49</f>
        <v>16192.5</v>
      </c>
      <c r="AM43" s="261">
        <f>'[2]тариф начисл. 2019 с янв'!$AZ$49</f>
        <v>27813</v>
      </c>
      <c r="AN43" s="16">
        <f t="shared" si="4"/>
        <v>168402</v>
      </c>
      <c r="AO43" s="16">
        <f t="shared" si="8"/>
        <v>576286.56</v>
      </c>
      <c r="AP43" s="246">
        <f t="shared" si="5"/>
        <v>20249.480000000098</v>
      </c>
      <c r="AQ43" s="22">
        <f t="shared" si="6"/>
        <v>556037.08</v>
      </c>
    </row>
    <row r="44" spans="1:43" ht="12.75">
      <c r="A44" s="4"/>
      <c r="B44" s="20"/>
      <c r="C44" s="144">
        <v>39</v>
      </c>
      <c r="D44" s="84" t="s">
        <v>6</v>
      </c>
      <c r="E44" s="83" t="s">
        <v>105</v>
      </c>
      <c r="F44" s="83" t="s">
        <v>106</v>
      </c>
      <c r="G44" s="74">
        <v>1992</v>
      </c>
      <c r="H44" s="68">
        <f>'[2]тариф начисл. 2019 с янв'!$I$50</f>
        <v>2810.3</v>
      </c>
      <c r="I44" s="69" t="s">
        <v>40</v>
      </c>
      <c r="J44" s="75">
        <v>24.2</v>
      </c>
      <c r="K44" s="142">
        <v>182687.36000000022</v>
      </c>
      <c r="L44" s="256">
        <f>'[5]ПОБЕДЫ 6А 1 п.'!$I$41</f>
        <v>620294.4</v>
      </c>
      <c r="M44" s="256">
        <v>662831.98</v>
      </c>
      <c r="N44" s="256">
        <v>0</v>
      </c>
      <c r="O44" s="258">
        <f t="shared" si="2"/>
        <v>140149.78000000026</v>
      </c>
      <c r="P44" s="86"/>
      <c r="Q44" s="254">
        <f>948.39</f>
        <v>948.39</v>
      </c>
      <c r="R44" s="254">
        <f>3251.61+96931.15+115293.36</f>
        <v>215476.12</v>
      </c>
      <c r="S44" s="254">
        <f>4606.45+96907.01+115293.36</f>
        <v>216806.82</v>
      </c>
      <c r="T44" s="254">
        <f t="shared" si="3"/>
        <v>-382.3099999999977</v>
      </c>
      <c r="U44" s="15">
        <f>'[2]тариф начисл. 2019 с янв'!$P$50</f>
        <v>2360.65</v>
      </c>
      <c r="V44" s="15">
        <f>'[4]тариф начисл. 2021 с янв'!$O$49</f>
        <v>4384.07</v>
      </c>
      <c r="W44" s="15">
        <f>'[2]тариф начисл. 2019 с янв'!$N$50</f>
        <v>206051.2</v>
      </c>
      <c r="X44" s="15"/>
      <c r="Y44" s="15"/>
      <c r="Z44" s="15">
        <f>'[2]тариф начисл. 2019 с янв'!$AC$50</f>
        <v>337.24</v>
      </c>
      <c r="AA44" s="15">
        <f>'[2]тариф начисл. 2019 с янв'!$AD$50+'[2]тариф начисл. 2019 с янв'!$AE$50</f>
        <v>31700.18</v>
      </c>
      <c r="AB44" s="15">
        <f>'[2]тариф начисл. 2019 с янв'!$AA$50</f>
        <v>1348.94</v>
      </c>
      <c r="AC44" s="15">
        <f>'[2]тариф начисл. 2019 с янв'!$AB$50</f>
        <v>1011.71</v>
      </c>
      <c r="AD44" s="15">
        <f>'[2]тариф начисл. 2019 с янв'!$Z$50+25000</f>
        <v>54676.770000000004</v>
      </c>
      <c r="AE44" s="15">
        <f>'[2]тариф начисл. 2019 с янв'!$V$50</f>
        <v>192561.76</v>
      </c>
      <c r="AF44" s="15"/>
      <c r="AG44" s="15">
        <f>'[2]тариф начисл. 2019 с янв'!$BA$50</f>
        <v>48561.98</v>
      </c>
      <c r="AH44" s="16">
        <f t="shared" si="7"/>
        <v>542994.5</v>
      </c>
      <c r="AI44" s="261">
        <f>'[4]тариф начисл. 2021 с янв'!$AJ$49+'[4]год'!$R$49</f>
        <v>105880.4</v>
      </c>
      <c r="AJ44" s="261">
        <f>'[2]тариф начисл. 2019 с янв'!$AO$50+15000</f>
        <v>69969.47</v>
      </c>
      <c r="AK44" s="261">
        <f>'[2]тариф начисл. 2019 с янв'!$AS$50+15000</f>
        <v>75365.23999999999</v>
      </c>
      <c r="AL44" s="261">
        <f>'[2]тариф начисл. 2019 с янв'!$AW$50+15000</f>
        <v>43665.06</v>
      </c>
      <c r="AM44" s="261">
        <f>'[2]тариф начисл. 2019 с янв'!$AZ$50</f>
        <v>49236.46</v>
      </c>
      <c r="AN44" s="16">
        <f t="shared" si="4"/>
        <v>344116.63</v>
      </c>
      <c r="AO44" s="16">
        <f t="shared" si="8"/>
        <v>887111.13</v>
      </c>
      <c r="AP44" s="250">
        <f t="shared" si="5"/>
        <v>7472.330000000016</v>
      </c>
      <c r="AQ44" s="22">
        <f t="shared" si="6"/>
        <v>879638.8</v>
      </c>
    </row>
    <row r="45" spans="1:43" ht="12.75">
      <c r="A45" s="4"/>
      <c r="B45" s="20"/>
      <c r="C45" s="144">
        <v>40</v>
      </c>
      <c r="D45" s="84" t="s">
        <v>6</v>
      </c>
      <c r="E45" s="83" t="s">
        <v>80</v>
      </c>
      <c r="F45" s="73" t="s">
        <v>65</v>
      </c>
      <c r="G45" s="74">
        <v>1994</v>
      </c>
      <c r="H45" s="68">
        <f>'[2]тариф начисл. 2019 с янв'!$I$51</f>
        <v>1979.4</v>
      </c>
      <c r="I45" s="69" t="s">
        <v>40</v>
      </c>
      <c r="J45" s="75">
        <v>21.73</v>
      </c>
      <c r="K45" s="142">
        <v>49421.859999999695</v>
      </c>
      <c r="L45" s="256">
        <f>'[5]УК+ООО'!$K$74</f>
        <v>516148.92</v>
      </c>
      <c r="M45" s="256">
        <f>'[5]УК+ООО'!$N$74</f>
        <v>502036.86</v>
      </c>
      <c r="N45" s="256">
        <v>0</v>
      </c>
      <c r="O45" s="258">
        <f t="shared" si="2"/>
        <v>63533.91999999969</v>
      </c>
      <c r="P45" s="86"/>
      <c r="Q45" s="254">
        <v>0</v>
      </c>
      <c r="R45" s="254">
        <v>0</v>
      </c>
      <c r="S45" s="254">
        <v>0</v>
      </c>
      <c r="T45" s="254">
        <f t="shared" si="3"/>
        <v>0</v>
      </c>
      <c r="U45" s="15">
        <f>'[2]тариф начисл. 2019 с янв'!$P$51</f>
        <v>1662.7</v>
      </c>
      <c r="V45" s="15">
        <f>'[2]тариф начисл. 2019 с янв'!$O$51+'[2]авг'!$F$51</f>
        <v>11001.8</v>
      </c>
      <c r="W45" s="15">
        <f>'[2]тариф начисл. 2019 с янв'!$N$51</f>
        <v>145129.61</v>
      </c>
      <c r="X45" s="15"/>
      <c r="Y45" s="15"/>
      <c r="Z45" s="15">
        <f>'[2]тариф начисл. 2019 с янв'!$AC$51</f>
        <v>237.53</v>
      </c>
      <c r="AA45" s="15">
        <f>'[2]тариф начисл. 2019 с янв'!$AD$51+'[2]тариф начисл. 2019 с янв'!$AE$51</f>
        <v>22327.64</v>
      </c>
      <c r="AB45" s="15">
        <f>'[2]тариф начисл. 2019 с янв'!$AA$51</f>
        <v>950.11</v>
      </c>
      <c r="AC45" s="15">
        <f>'[2]тариф начисл. 2019 с янв'!$AB$51+'[3]год'!$F$51</f>
        <v>712.58</v>
      </c>
      <c r="AD45" s="15">
        <f>'[2]тариф начисл. 2019 с янв'!$Z$51</f>
        <v>20902.46</v>
      </c>
      <c r="AE45" s="15">
        <f>'[2]тариф начисл. 2019 с янв'!$V$51</f>
        <v>76959.07</v>
      </c>
      <c r="AF45" s="15"/>
      <c r="AG45" s="15">
        <f>'[2]тариф начисл. 2019 с янв'!$BA$51</f>
        <v>34204.03</v>
      </c>
      <c r="AH45" s="16">
        <f t="shared" si="7"/>
        <v>314087.5299999999</v>
      </c>
      <c r="AI45" s="261">
        <f>'[4]тариф начисл. 2021 с янв'!$AJ$50+'[4]год'!$R$50</f>
        <v>79420.21</v>
      </c>
      <c r="AJ45" s="261">
        <f>'[2]тариф начисл. 2019 с янв'!$AO$51</f>
        <v>38717.06</v>
      </c>
      <c r="AK45" s="261">
        <f>'[2]тариф начисл. 2019 с янв'!$AS$51</f>
        <v>42517.51</v>
      </c>
      <c r="AL45" s="261">
        <f>'[2]тариф начисл. 2019 с янв'!$AW$51</f>
        <v>20189.88</v>
      </c>
      <c r="AM45" s="261">
        <f>'[2]тариф начисл. 2019 с янв'!$AZ$51</f>
        <v>34679.09</v>
      </c>
      <c r="AN45" s="16">
        <f t="shared" si="4"/>
        <v>215523.75</v>
      </c>
      <c r="AO45" s="16">
        <f t="shared" si="8"/>
        <v>529611.2799999999</v>
      </c>
      <c r="AP45" s="252">
        <f t="shared" si="5"/>
        <v>27574.419999999925</v>
      </c>
      <c r="AQ45" s="22">
        <f t="shared" si="6"/>
        <v>502036.86</v>
      </c>
    </row>
    <row r="46" spans="1:43" ht="12.75">
      <c r="A46" s="4">
        <v>38</v>
      </c>
      <c r="B46" s="30">
        <v>38</v>
      </c>
      <c r="C46" s="144">
        <v>41</v>
      </c>
      <c r="D46" s="84" t="s">
        <v>6</v>
      </c>
      <c r="E46" s="73">
        <v>8</v>
      </c>
      <c r="F46" s="73" t="s">
        <v>65</v>
      </c>
      <c r="G46" s="74">
        <v>1968</v>
      </c>
      <c r="H46" s="68">
        <f>'[1]тариф начисл. 2018 с янв'!$I$51</f>
        <v>2732.4</v>
      </c>
      <c r="I46" s="69" t="s">
        <v>40</v>
      </c>
      <c r="J46" s="75">
        <v>20.88</v>
      </c>
      <c r="K46" s="142">
        <v>444181.91000000003</v>
      </c>
      <c r="L46" s="256">
        <f>'[5]УК+ООО'!$K$76</f>
        <v>686083.56</v>
      </c>
      <c r="M46" s="256">
        <f>'[5]УК+ООО'!$N$76</f>
        <v>702446.08</v>
      </c>
      <c r="N46" s="256">
        <v>0</v>
      </c>
      <c r="O46" s="258">
        <f t="shared" si="2"/>
        <v>427819.39000000025</v>
      </c>
      <c r="P46" s="86"/>
      <c r="Q46" s="254">
        <f>948.36+1553.48</f>
        <v>2501.84</v>
      </c>
      <c r="R46" s="254">
        <f>21737.21+3251.61+4660.43</f>
        <v>29649.25</v>
      </c>
      <c r="S46" s="254">
        <f>21737.21+4606.45+5825.54</f>
        <v>32169.2</v>
      </c>
      <c r="T46" s="254">
        <f aca="true" t="shared" si="9" ref="T46:T73">Q46+R46-S46</f>
        <v>-18.110000000000582</v>
      </c>
      <c r="U46" s="15">
        <f>'[2]тариф начисл. 2019 с янв'!$P$52</f>
        <v>2295.22</v>
      </c>
      <c r="V46" s="15">
        <f>'[2]тариф начисл. 2019 с янв'!$O$52+'[2]авг'!$F$52</f>
        <v>43442.81</v>
      </c>
      <c r="W46" s="15">
        <f>'[2]тариф начисл. 2019 с янв'!$N$52</f>
        <v>200339.57</v>
      </c>
      <c r="X46" s="15"/>
      <c r="Y46" s="15"/>
      <c r="Z46" s="15">
        <f>'[2]тариф начисл. 2019 с янв'!$AC$52</f>
        <v>327.89</v>
      </c>
      <c r="AA46" s="15">
        <f>'[2]тариф начисл. 2019 с янв'!$AD$52+'[2]тариф начисл. 2019 с янв'!$AE$52</f>
        <v>30821.48</v>
      </c>
      <c r="AB46" s="15">
        <f>'[2]тариф начисл. 2019 с янв'!$AA$52</f>
        <v>1311.55</v>
      </c>
      <c r="AC46" s="15">
        <f>'[3]тариф начисл. 2020 с янв'!$AB$52+'[3]год'!$F$52</f>
        <v>2931.66</v>
      </c>
      <c r="AD46" s="15">
        <f>'[2]тариф начисл. 2019 с янв'!$Z$52+S46</f>
        <v>61023.34</v>
      </c>
      <c r="AE46" s="15">
        <f>'[2]тариф начисл. 2019 с янв'!$V$52</f>
        <v>106235.71</v>
      </c>
      <c r="AF46" s="15"/>
      <c r="AG46" s="15">
        <f>'[2]тариф начисл. 2019 с янв'!$BA$52</f>
        <v>47215.87</v>
      </c>
      <c r="AH46" s="16">
        <f t="shared" si="7"/>
        <v>495945.10000000003</v>
      </c>
      <c r="AI46" s="261">
        <f>'[2]тариф начисл. 2019 с янв'!$AJ$52</f>
        <v>101973.17</v>
      </c>
      <c r="AJ46" s="261">
        <f>'[2]тариф начисл. 2019 с янв'!$AO$52</f>
        <v>53445.74</v>
      </c>
      <c r="AK46" s="261">
        <f>'[2]тариф начисл. 2019 с янв'!$AS$52</f>
        <v>31149.36</v>
      </c>
      <c r="AL46" s="261">
        <f>'[2]тариф начисл. 2019 с янв'!$AW$52</f>
        <v>27542.59</v>
      </c>
      <c r="AM46" s="261">
        <f>'[2]тариф начисл. 2019 с янв'!$AZ$52</f>
        <v>47871.65</v>
      </c>
      <c r="AN46" s="16">
        <f t="shared" si="4"/>
        <v>261982.51</v>
      </c>
      <c r="AO46" s="16">
        <f t="shared" si="8"/>
        <v>757927.6100000001</v>
      </c>
      <c r="AP46" s="250">
        <f t="shared" si="5"/>
        <v>23312.330000000144</v>
      </c>
      <c r="AQ46" s="22">
        <f t="shared" si="6"/>
        <v>734615.2799999999</v>
      </c>
    </row>
    <row r="47" spans="1:43" ht="12.75">
      <c r="A47" s="4">
        <v>39</v>
      </c>
      <c r="B47" s="21">
        <v>39</v>
      </c>
      <c r="C47" s="144">
        <v>42</v>
      </c>
      <c r="D47" s="84" t="s">
        <v>6</v>
      </c>
      <c r="E47" s="73">
        <v>10</v>
      </c>
      <c r="F47" s="73" t="s">
        <v>65</v>
      </c>
      <c r="G47" s="74">
        <v>1968</v>
      </c>
      <c r="H47" s="68">
        <f>'[1]тариф начисл. 2018 с янв'!$I$52</f>
        <v>2671.5</v>
      </c>
      <c r="I47" s="69" t="s">
        <v>40</v>
      </c>
      <c r="J47" s="75">
        <v>20.88</v>
      </c>
      <c r="K47" s="142">
        <v>132284.19999999995</v>
      </c>
      <c r="L47" s="256">
        <f>'[5]УК+ООО'!$K$56</f>
        <v>680429</v>
      </c>
      <c r="M47" s="256">
        <f>'[5]УК+ООО'!$N$56</f>
        <v>669083.29</v>
      </c>
      <c r="N47" s="256">
        <v>0</v>
      </c>
      <c r="O47" s="258">
        <f t="shared" si="2"/>
        <v>143629.90999999992</v>
      </c>
      <c r="P47" s="86"/>
      <c r="Q47" s="254">
        <v>1553.48</v>
      </c>
      <c r="R47" s="254">
        <v>4660.43</v>
      </c>
      <c r="S47" s="254">
        <v>5825.54</v>
      </c>
      <c r="T47" s="254">
        <f t="shared" si="9"/>
        <v>388.3699999999999</v>
      </c>
      <c r="U47" s="15">
        <f>'[2]тариф начисл. 2019 с янв'!$P$53</f>
        <v>2244.06</v>
      </c>
      <c r="V47" s="15">
        <f>'[2]тариф начисл. 2019 с янв'!$O$53+'[2]авг'!$F$53</f>
        <v>58986.54</v>
      </c>
      <c r="W47" s="15">
        <f>'[2]тариф начисл. 2019 с янв'!$N$53</f>
        <v>195874.38</v>
      </c>
      <c r="X47" s="15"/>
      <c r="Y47" s="15"/>
      <c r="Z47" s="15">
        <f>'[2]тариф начисл. 2019 с янв'!$AC$53</f>
        <v>320.58</v>
      </c>
      <c r="AA47" s="15">
        <f>'[2]тариф начисл. 2019 с янв'!$AD$53+'[2]тариф начисл. 2019 с янв'!$AE$53</f>
        <v>30134.52</v>
      </c>
      <c r="AB47" s="15">
        <f>'[2]тариф начисл. 2019 с янв'!$AA$53</f>
        <v>1282.32</v>
      </c>
      <c r="AC47" s="15">
        <f>'[2]тариф начисл. 2019 с янв'!$AB$53+'[3]год'!$F$53</f>
        <v>2457.3</v>
      </c>
      <c r="AD47" s="15">
        <f>'[2]тариф начисл. 2019 с янв'!$Z$53</f>
        <v>28211.04</v>
      </c>
      <c r="AE47" s="15">
        <f>'[2]тариф начисл. 2019 с янв'!$V$53</f>
        <v>103867.92</v>
      </c>
      <c r="AF47" s="15"/>
      <c r="AG47" s="15">
        <f>'[2]тариф начисл. 2019 с янв'!$BA$53</f>
        <v>46163.52</v>
      </c>
      <c r="AH47" s="16">
        <f t="shared" si="7"/>
        <v>469542.18</v>
      </c>
      <c r="AI47" s="261">
        <f>'[3]тариф начисл. 2020 с янв'!$AJ$53</f>
        <v>99700.38</v>
      </c>
      <c r="AJ47" s="261">
        <f>'[2]тариф начисл. 2019 с янв'!$AO$53</f>
        <v>52254.54</v>
      </c>
      <c r="AK47" s="261">
        <f>'[2]тариф начисл. 2019 с янв'!$AS$53</f>
        <v>30455.1</v>
      </c>
      <c r="AL47" s="261">
        <f>'[2]тариф начисл. 2019 с янв'!$AW$53</f>
        <v>26928.72</v>
      </c>
      <c r="AM47" s="261">
        <f>'[2]тариф начисл. 2019 с янв'!$AZ$53</f>
        <v>46804.68</v>
      </c>
      <c r="AN47" s="16">
        <f t="shared" si="4"/>
        <v>256143.42</v>
      </c>
      <c r="AO47" s="16">
        <f t="shared" si="8"/>
        <v>725685.6</v>
      </c>
      <c r="AP47" s="251">
        <f t="shared" si="5"/>
        <v>50776.76999999994</v>
      </c>
      <c r="AQ47" s="22">
        <f t="shared" si="6"/>
        <v>674908.8300000001</v>
      </c>
    </row>
    <row r="48" spans="1:43" ht="12.75">
      <c r="A48" s="4"/>
      <c r="B48" s="20"/>
      <c r="C48" s="144">
        <v>43</v>
      </c>
      <c r="D48" s="84" t="s">
        <v>6</v>
      </c>
      <c r="E48" s="83" t="s">
        <v>89</v>
      </c>
      <c r="F48" s="74" t="s">
        <v>32</v>
      </c>
      <c r="G48" s="110" t="s">
        <v>90</v>
      </c>
      <c r="H48" s="68">
        <f>'[2]тариф начисл. 2019 с янв'!$I$54</f>
        <v>5117.2</v>
      </c>
      <c r="I48" s="69" t="s">
        <v>40</v>
      </c>
      <c r="J48" s="75">
        <v>25.92</v>
      </c>
      <c r="K48" s="142">
        <v>139869.3799999999</v>
      </c>
      <c r="L48" s="256">
        <f>'[5]УК+ООО'!$K$57</f>
        <v>1048080.36</v>
      </c>
      <c r="M48" s="256">
        <f>'[5]УК+ООО'!$N$57</f>
        <v>1081939.26</v>
      </c>
      <c r="N48" s="256">
        <v>0</v>
      </c>
      <c r="O48" s="258">
        <f t="shared" si="2"/>
        <v>106010.47999999975</v>
      </c>
      <c r="P48" s="86"/>
      <c r="Q48" s="254">
        <f>948.36+8954.4+41135.21</f>
        <v>51037.97</v>
      </c>
      <c r="R48" s="254">
        <f>3251.61+54381.6+504992.76</f>
        <v>562625.97</v>
      </c>
      <c r="S48" s="254">
        <f>4606.45+67882.08+504359.85</f>
        <v>576848.38</v>
      </c>
      <c r="T48" s="254">
        <f t="shared" si="9"/>
        <v>36815.55999999994</v>
      </c>
      <c r="U48" s="15">
        <f>'[2]тариф начисл. 2019 с янв'!$P$54</f>
        <v>4298.45</v>
      </c>
      <c r="V48" s="15">
        <f>'[4]тариф начисл. 2021 с янв'!$O$53</f>
        <v>7982.83</v>
      </c>
      <c r="W48" s="15">
        <f>'[2]тариф начисл. 2019 с янв'!$N$54</f>
        <v>375193.1</v>
      </c>
      <c r="X48" s="15"/>
      <c r="Y48" s="15"/>
      <c r="Z48" s="15">
        <f>'[2]тариф начисл. 2019 с янв'!$AC$54</f>
        <v>614.06</v>
      </c>
      <c r="AA48" s="15">
        <f>'[2]тариф начисл. 2019 с янв'!$AD$54+'[2]тариф начисл. 2019 с янв'!$AE$54</f>
        <v>57722.02</v>
      </c>
      <c r="AB48" s="15">
        <f>'[2]тариф начисл. 2019 с янв'!$AA$54</f>
        <v>2456.26</v>
      </c>
      <c r="AC48" s="15">
        <f>'[2]тариф начисл. 2019 с янв'!$AB$54+'[3]год'!$F$54</f>
        <v>2911.3900000000003</v>
      </c>
      <c r="AD48" s="15">
        <f>'[2]тариф начисл. 2019 с янв'!$Z$54+20000</f>
        <v>74037.63</v>
      </c>
      <c r="AE48" s="15">
        <f>'[4]тариф начисл. 2021 с янв'!$V$53</f>
        <v>456249.55</v>
      </c>
      <c r="AF48" s="15"/>
      <c r="AG48" s="15">
        <f>'[2]тариф начисл. 2019 с янв'!$BA$54</f>
        <v>88425.22</v>
      </c>
      <c r="AH48" s="16">
        <f>SUM(U48:AG48)</f>
        <v>1069890.51</v>
      </c>
      <c r="AI48" s="261">
        <f>'[3]тариф начисл. 2020 с янв'!$AJ$54</f>
        <v>190973.9</v>
      </c>
      <c r="AJ48" s="261">
        <f>'[4]тариф начисл. 2021 с янв'!$AO$53+5000</f>
        <v>105092.43</v>
      </c>
      <c r="AK48" s="261">
        <f>'[2]тариф начисл. 2019 с янв'!$AS$54+15000</f>
        <v>124917.46</v>
      </c>
      <c r="AL48" s="261">
        <f>'[2]тариф начисл. 2019 с янв'!$AW$54+30000</f>
        <v>82195.44</v>
      </c>
      <c r="AM48" s="261">
        <f>'[2]тариф начисл. 2019 с янв'!$AZ$54+5000</f>
        <v>94653.34</v>
      </c>
      <c r="AN48" s="16">
        <f t="shared" si="4"/>
        <v>597832.57</v>
      </c>
      <c r="AO48" s="16">
        <f t="shared" si="8"/>
        <v>1667723.08</v>
      </c>
      <c r="AP48" s="251">
        <f t="shared" si="5"/>
        <v>8935.44000000006</v>
      </c>
      <c r="AQ48" s="22">
        <f t="shared" si="6"/>
        <v>1658787.6400000001</v>
      </c>
    </row>
    <row r="49" spans="1:43" ht="12.75">
      <c r="A49" s="4">
        <v>40</v>
      </c>
      <c r="B49" s="20">
        <v>40</v>
      </c>
      <c r="C49" s="144">
        <v>44</v>
      </c>
      <c r="D49" s="84" t="s">
        <v>6</v>
      </c>
      <c r="E49" s="73">
        <v>12</v>
      </c>
      <c r="F49" s="73" t="s">
        <v>65</v>
      </c>
      <c r="G49" s="74">
        <v>1968</v>
      </c>
      <c r="H49" s="68">
        <f>'[1]тариф начисл. 2018 с янв'!$I$54</f>
        <v>2708.1</v>
      </c>
      <c r="I49" s="69" t="s">
        <v>40</v>
      </c>
      <c r="J49" s="75">
        <v>20.88</v>
      </c>
      <c r="K49" s="142">
        <v>151705.21999999997</v>
      </c>
      <c r="L49" s="256">
        <f>'[5]УК+ООО'!$K$58</f>
        <v>677814.6</v>
      </c>
      <c r="M49" s="256">
        <f>'[5]УК+ООО'!$N$58</f>
        <v>668991.48</v>
      </c>
      <c r="N49" s="256">
        <v>0</v>
      </c>
      <c r="O49" s="258">
        <f t="shared" si="2"/>
        <v>160528.33999999997</v>
      </c>
      <c r="P49" s="86"/>
      <c r="Q49" s="254">
        <f>947.39+1553.48</f>
        <v>2500.87</v>
      </c>
      <c r="R49" s="254">
        <f>3251.61+4660.43</f>
        <v>7912.040000000001</v>
      </c>
      <c r="S49" s="254">
        <f>4606.45+5825.54</f>
        <v>10431.99</v>
      </c>
      <c r="T49" s="254">
        <f t="shared" si="9"/>
        <v>-19.079999999999927</v>
      </c>
      <c r="U49" s="15">
        <f>'[2]тариф начисл. 2019 с янв'!$P$55</f>
        <v>2274.8</v>
      </c>
      <c r="V49" s="15">
        <f>'[2]тариф начисл. 2019 с янв'!$O$55+'[2]авг'!$F$55</f>
        <v>63636.64</v>
      </c>
      <c r="W49" s="15">
        <f>'[2]тариф начисл. 2019 с янв'!$N$55</f>
        <v>198557.89</v>
      </c>
      <c r="X49" s="15"/>
      <c r="Y49" s="15"/>
      <c r="Z49" s="15">
        <f>'[2]тариф начисл. 2019 с янв'!$AC$55</f>
        <v>324.97</v>
      </c>
      <c r="AA49" s="15">
        <f>'[2]тариф начисл. 2019 с янв'!$AD$55+'[2]тариф начисл. 2019 с янв'!$AE$55</f>
        <v>30547.36</v>
      </c>
      <c r="AB49" s="15">
        <f>'[2]тариф начисл. 2019 с янв'!$AA$55</f>
        <v>1299.89</v>
      </c>
      <c r="AC49" s="15">
        <f>'[3]тариф начисл. 2020 с янв'!$AB$55+'[3]год'!$F$55</f>
        <v>2524.3</v>
      </c>
      <c r="AD49" s="15">
        <f>'[2]тариф начисл. 2019 с янв'!$Y$55</f>
        <v>28597.54</v>
      </c>
      <c r="AE49" s="15">
        <f>'[2]тариф начисл. 2019 с янв'!$V$55</f>
        <v>105290.93</v>
      </c>
      <c r="AF49" s="15"/>
      <c r="AG49" s="15">
        <f>'[2]тариф начисл. 2019 с янв'!$BA$55</f>
        <v>46795.97</v>
      </c>
      <c r="AH49" s="16">
        <f aca="true" t="shared" si="10" ref="AH49:AH76">SUM(U49:AG49)</f>
        <v>479850.2899999999</v>
      </c>
      <c r="AI49" s="261">
        <f>'[2]тариф начисл. 2019 с янв'!$AJ$55</f>
        <v>101066.29</v>
      </c>
      <c r="AJ49" s="261">
        <f>'[2]тариф начисл. 2019 с янв'!$AO$55</f>
        <v>52970.44</v>
      </c>
      <c r="AK49" s="261">
        <f>'[2]тариф начисл. 2019 с янв'!$AS$55</f>
        <v>30872.34</v>
      </c>
      <c r="AL49" s="261">
        <f>'[2]тариф начисл. 2019 с янв'!$AW$55</f>
        <v>27297.65</v>
      </c>
      <c r="AM49" s="261">
        <f>'[2]тариф начисл. 2019 с янв'!$AZ$55</f>
        <v>47445.91</v>
      </c>
      <c r="AN49" s="16">
        <f t="shared" si="4"/>
        <v>259652.62999999998</v>
      </c>
      <c r="AO49" s="16">
        <f t="shared" si="8"/>
        <v>739502.9199999999</v>
      </c>
      <c r="AP49" s="250">
        <f t="shared" si="5"/>
        <v>60079.449999999946</v>
      </c>
      <c r="AQ49" s="22">
        <f t="shared" si="6"/>
        <v>679423.47</v>
      </c>
    </row>
    <row r="50" spans="1:43" ht="12.75">
      <c r="A50" s="4">
        <v>41</v>
      </c>
      <c r="B50" s="21">
        <v>41</v>
      </c>
      <c r="C50" s="144">
        <v>45</v>
      </c>
      <c r="D50" s="84" t="s">
        <v>6</v>
      </c>
      <c r="E50" s="73">
        <v>14</v>
      </c>
      <c r="F50" s="73" t="s">
        <v>65</v>
      </c>
      <c r="G50" s="74">
        <v>1968</v>
      </c>
      <c r="H50" s="68">
        <f>'[1]тариф начисл. 2018 с янв'!$I$55</f>
        <v>2705</v>
      </c>
      <c r="I50" s="69" t="s">
        <v>40</v>
      </c>
      <c r="J50" s="75">
        <v>20.88</v>
      </c>
      <c r="K50" s="142">
        <v>236678.56999999983</v>
      </c>
      <c r="L50" s="256">
        <f>'[5]УК+ООО'!$K$60</f>
        <v>677764.44</v>
      </c>
      <c r="M50" s="256">
        <f>'[5]УК+ООО'!$N$60</f>
        <v>647519.39</v>
      </c>
      <c r="N50" s="256">
        <v>0</v>
      </c>
      <c r="O50" s="258">
        <f t="shared" si="2"/>
        <v>266923.61999999976</v>
      </c>
      <c r="P50" s="86"/>
      <c r="Q50" s="254">
        <v>1553.48</v>
      </c>
      <c r="R50" s="254">
        <v>4660.43</v>
      </c>
      <c r="S50" s="254">
        <v>5825.61</v>
      </c>
      <c r="T50" s="254">
        <f t="shared" si="9"/>
        <v>388.3000000000002</v>
      </c>
      <c r="U50" s="15">
        <f>'[2]тариф начисл. 2019 с янв'!$P$56</f>
        <v>2272.2</v>
      </c>
      <c r="V50" s="15">
        <f>'[2]тариф начисл. 2019 с янв'!$O$56+'[2]авг'!$F$56</f>
        <v>51081.630000000005</v>
      </c>
      <c r="W50" s="15">
        <f>'[2]тариф начисл. 2019 с янв'!$N$56</f>
        <v>198330.6</v>
      </c>
      <c r="X50" s="15"/>
      <c r="Y50" s="15"/>
      <c r="Z50" s="15">
        <f>'[2]тариф начисл. 2019 с янв'!$AC$56</f>
        <v>324.6</v>
      </c>
      <c r="AA50" s="15">
        <f>'[2]тариф начисл. 2019 с янв'!$AD$56+'[2]тариф начисл. 2019 с янв'!$AE$56</f>
        <v>30512.4</v>
      </c>
      <c r="AB50" s="15">
        <f>'[2]тариф начисл. 2019 с янв'!$AA$56</f>
        <v>1298.4</v>
      </c>
      <c r="AC50" s="15">
        <f>'[2]тариф начисл. 2019 с янв'!$AB$56+'[3]год'!$F$56</f>
        <v>3362.8999999999996</v>
      </c>
      <c r="AD50" s="15">
        <f>'[2]тариф начисл. 2019 с янв'!$Y$56</f>
        <v>28564.8</v>
      </c>
      <c r="AE50" s="15">
        <f>'[2]тариф начисл. 2019 с янв'!$V$56</f>
        <v>105170.4</v>
      </c>
      <c r="AF50" s="15"/>
      <c r="AG50" s="15">
        <f>'[2]тариф начисл. 2019 с янв'!$BA$56</f>
        <v>46742.4</v>
      </c>
      <c r="AH50" s="16">
        <f t="shared" si="10"/>
        <v>467660.3300000001</v>
      </c>
      <c r="AI50" s="261">
        <f>'[2]тариф начисл. 2019 с янв'!$AJ$56</f>
        <v>100950.6</v>
      </c>
      <c r="AJ50" s="261">
        <f>'[2]тариф начисл. 2019 с янв'!$AO$56</f>
        <v>52909.8</v>
      </c>
      <c r="AK50" s="261">
        <f>'[2]тариф начисл. 2019 с янв'!$AS$56</f>
        <v>30837</v>
      </c>
      <c r="AL50" s="261">
        <f>'[2]тариф начисл. 2019 с янв'!$AW$56</f>
        <v>27266.4</v>
      </c>
      <c r="AM50" s="261">
        <f>'[2]тариф начисл. 2019 с янв'!$AZ$56</f>
        <v>47391.6</v>
      </c>
      <c r="AN50" s="16">
        <f t="shared" si="4"/>
        <v>259355.40000000002</v>
      </c>
      <c r="AO50" s="16">
        <f t="shared" si="8"/>
        <v>727015.7300000001</v>
      </c>
      <c r="AP50" s="250">
        <f t="shared" si="5"/>
        <v>73670.73000000008</v>
      </c>
      <c r="AQ50" s="22">
        <f t="shared" si="6"/>
        <v>653345</v>
      </c>
    </row>
    <row r="51" spans="1:43" ht="12.75">
      <c r="A51" s="4">
        <v>42</v>
      </c>
      <c r="B51" s="21">
        <v>42</v>
      </c>
      <c r="C51" s="144">
        <v>46</v>
      </c>
      <c r="D51" s="84" t="s">
        <v>6</v>
      </c>
      <c r="E51" s="73">
        <v>16</v>
      </c>
      <c r="F51" s="73" t="s">
        <v>65</v>
      </c>
      <c r="G51" s="74">
        <v>1968</v>
      </c>
      <c r="H51" s="68">
        <f>'[1]тариф начисл. 2018 с янв'!$I$56</f>
        <v>2706.7</v>
      </c>
      <c r="I51" s="69" t="s">
        <v>40</v>
      </c>
      <c r="J51" s="75">
        <v>20.88</v>
      </c>
      <c r="K51" s="142">
        <v>110710.37</v>
      </c>
      <c r="L51" s="256">
        <f>'[5]УК+ООО'!$K$61</f>
        <v>662856.72</v>
      </c>
      <c r="M51" s="256">
        <f>'[5]УК+ООО'!$N$61</f>
        <v>633207.6</v>
      </c>
      <c r="N51" s="256">
        <v>0</v>
      </c>
      <c r="O51" s="258">
        <f t="shared" si="2"/>
        <v>140359.49</v>
      </c>
      <c r="P51" s="86"/>
      <c r="Q51" s="254">
        <v>1553.48</v>
      </c>
      <c r="R51" s="254">
        <v>4660.43</v>
      </c>
      <c r="S51" s="254">
        <v>5825.54</v>
      </c>
      <c r="T51" s="254">
        <f t="shared" si="9"/>
        <v>388.3699999999999</v>
      </c>
      <c r="U51" s="15">
        <f>'[2]тариф начисл. 2019 с янв'!$P$57</f>
        <v>2273.63</v>
      </c>
      <c r="V51" s="15">
        <f>'[2]тариф начисл. 2019 с янв'!$O$57+'[2]авг'!$F$57</f>
        <v>48368.28999999999</v>
      </c>
      <c r="W51" s="15">
        <f>'[2]тариф начисл. 2019 с янв'!$N$57</f>
        <v>198455.24</v>
      </c>
      <c r="X51" s="15"/>
      <c r="Y51" s="15"/>
      <c r="Z51" s="15">
        <f>'[2]тариф начисл. 2019 с янв'!$AC$57</f>
        <v>324.8</v>
      </c>
      <c r="AA51" s="15">
        <f>'[2]тариф начисл. 2019 с янв'!$AD$57+'[2]тариф начисл. 2019 с янв'!$AE$57</f>
        <v>30531.58</v>
      </c>
      <c r="AB51" s="15">
        <f>'[2]тариф начисл. 2019 с янв'!$AA$57</f>
        <v>1299.22</v>
      </c>
      <c r="AC51" s="15">
        <f>'[3]тариф начисл. 2020 с янв'!$AB$57+'[3]год'!$F$57</f>
        <v>4140.93</v>
      </c>
      <c r="AD51" s="15">
        <f>'[2]тариф начисл. 2019 с янв'!$Y$57</f>
        <v>28582.75</v>
      </c>
      <c r="AE51" s="15">
        <f>'[2]тариф начисл. 2019 с янв'!$V$57</f>
        <v>105236.5</v>
      </c>
      <c r="AF51" s="15"/>
      <c r="AG51" s="15">
        <f>'[2]тариф начисл. 2019 с янв'!$BA$57</f>
        <v>46771.78</v>
      </c>
      <c r="AH51" s="16">
        <f t="shared" si="10"/>
        <v>465984.72</v>
      </c>
      <c r="AI51" s="261">
        <f>'[4]тариф начисл. 2021 с янв'!$AJ$56+'[4]год'!$R$56</f>
        <v>101254.04</v>
      </c>
      <c r="AJ51" s="261">
        <f>'[2]тариф начисл. 2019 с янв'!$AO$57</f>
        <v>52943.05</v>
      </c>
      <c r="AK51" s="261">
        <f>'[2]тариф начисл. 2019 с янв'!$AS$57</f>
        <v>30856.38</v>
      </c>
      <c r="AL51" s="261">
        <f>'[2]тариф начисл. 2019 с янв'!$AW$57</f>
        <v>27283.54</v>
      </c>
      <c r="AM51" s="261">
        <f>'[2]тариф начисл. 2019 с янв'!$AZ$57</f>
        <v>47421.38</v>
      </c>
      <c r="AN51" s="16">
        <f t="shared" si="4"/>
        <v>259758.39</v>
      </c>
      <c r="AO51" s="16">
        <f t="shared" si="8"/>
        <v>725743.11</v>
      </c>
      <c r="AP51" s="250">
        <f t="shared" si="5"/>
        <v>86709.97000000002</v>
      </c>
      <c r="AQ51" s="22">
        <f t="shared" si="6"/>
        <v>639033.14</v>
      </c>
    </row>
    <row r="52" spans="1:43" ht="12.75">
      <c r="A52" s="4">
        <v>43</v>
      </c>
      <c r="B52" s="20">
        <v>43</v>
      </c>
      <c r="C52" s="144">
        <v>47</v>
      </c>
      <c r="D52" s="84" t="s">
        <v>6</v>
      </c>
      <c r="E52" s="73">
        <v>18</v>
      </c>
      <c r="F52" s="73" t="s">
        <v>65</v>
      </c>
      <c r="G52" s="74">
        <v>1968</v>
      </c>
      <c r="H52" s="68">
        <f>'[1]тариф начисл. 2018 с янв'!$I$57</f>
        <v>4403.7</v>
      </c>
      <c r="I52" s="69" t="s">
        <v>66</v>
      </c>
      <c r="J52" s="75">
        <v>20.88</v>
      </c>
      <c r="K52" s="142">
        <v>231167.1000000001</v>
      </c>
      <c r="L52" s="256">
        <f>'[5]УК+ООО'!$K$62</f>
        <v>1075497.93</v>
      </c>
      <c r="M52" s="256">
        <f>'[5]УК+ООО'!$N$62</f>
        <v>1073130.45</v>
      </c>
      <c r="N52" s="256">
        <v>0</v>
      </c>
      <c r="O52" s="258">
        <f t="shared" si="2"/>
        <v>233534.58000000007</v>
      </c>
      <c r="P52" s="86"/>
      <c r="Q52" s="254">
        <f>2219.48+0</f>
        <v>2219.48</v>
      </c>
      <c r="R52" s="254">
        <f>6658.44+43991.14</f>
        <v>50649.58</v>
      </c>
      <c r="S52" s="254">
        <f>8323.05+48901.76</f>
        <v>57224.81</v>
      </c>
      <c r="T52" s="254">
        <f t="shared" si="9"/>
        <v>-4355.749999999993</v>
      </c>
      <c r="U52" s="15">
        <f>'[2]тариф начисл. 2019 с янв'!$P$58</f>
        <v>3699.11</v>
      </c>
      <c r="V52" s="15">
        <f>'[2]тариф начисл. 2019 с янв'!$O$58+'[2]авг'!$F$58</f>
        <v>48124.119999999995</v>
      </c>
      <c r="W52" s="15">
        <f>'[2]тариф начисл. 2019 с янв'!$N$58</f>
        <v>322879.28</v>
      </c>
      <c r="X52" s="15"/>
      <c r="Y52" s="15"/>
      <c r="Z52" s="15">
        <f>'[2]тариф начисл. 2019 с янв'!$AC$58</f>
        <v>528.44</v>
      </c>
      <c r="AA52" s="15">
        <f>'[2]тариф начисл. 2019 с янв'!$AD$58+'[2]тариф начисл. 2019 с янв'!$AE$58</f>
        <v>49673.74</v>
      </c>
      <c r="AB52" s="15">
        <f>'[2]тариф начисл. 2019 с янв'!$AA$58</f>
        <v>2113.78</v>
      </c>
      <c r="AC52" s="15">
        <f>'[3]тариф начисл. 2020 с янв'!$AB$58+'[3]год'!$F$58</f>
        <v>3899.0499999999997</v>
      </c>
      <c r="AD52" s="15">
        <f>'[2]тариф начисл. 2019 с янв'!$Y$58</f>
        <v>46503.07</v>
      </c>
      <c r="AE52" s="15">
        <f>'[2]тариф начисл. 2019 с янв'!$V$58</f>
        <v>171215.86</v>
      </c>
      <c r="AF52" s="15"/>
      <c r="AG52" s="15">
        <f>'[2]тариф начисл. 2019 с янв'!$BA$58</f>
        <v>76095.94</v>
      </c>
      <c r="AH52" s="16">
        <f t="shared" si="10"/>
        <v>724732.3899999999</v>
      </c>
      <c r="AI52" s="261">
        <f>'[4]тариф начисл. 2021 с янв'!$AJ$57+'[4]год'!$R$57</f>
        <v>164466.08</v>
      </c>
      <c r="AJ52" s="261">
        <f>'[4]тариф начисл. 2021 с янв'!$AO$57</f>
        <v>86136.37</v>
      </c>
      <c r="AK52" s="261">
        <f>'[2]тариф начисл. 2019 с янв'!$AS$58</f>
        <v>50202.18</v>
      </c>
      <c r="AL52" s="261">
        <f>'[2]тариф начисл. 2019 с янв'!$AW$58</f>
        <v>44389.3</v>
      </c>
      <c r="AM52" s="261">
        <f>'[2]тариф начисл. 2019 с янв'!$AZ$58</f>
        <v>77152.82</v>
      </c>
      <c r="AN52" s="16">
        <f t="shared" si="4"/>
        <v>422346.75</v>
      </c>
      <c r="AO52" s="16">
        <f t="shared" si="8"/>
        <v>1147079.14</v>
      </c>
      <c r="AP52" s="250">
        <f t="shared" si="5"/>
        <v>16723.879999999946</v>
      </c>
      <c r="AQ52" s="22">
        <f t="shared" si="6"/>
        <v>1130355.26</v>
      </c>
    </row>
    <row r="53" spans="1:43" ht="12.75">
      <c r="A53" s="4">
        <v>44</v>
      </c>
      <c r="B53" s="21">
        <v>44</v>
      </c>
      <c r="C53" s="144">
        <v>48</v>
      </c>
      <c r="D53" s="84" t="s">
        <v>6</v>
      </c>
      <c r="E53" s="73">
        <v>26</v>
      </c>
      <c r="F53" s="73" t="s">
        <v>65</v>
      </c>
      <c r="G53" s="74">
        <v>1978</v>
      </c>
      <c r="H53" s="68">
        <f>'[1]тариф начисл. 2018 с янв'!$I$58</f>
        <v>4379.5</v>
      </c>
      <c r="I53" s="69" t="s">
        <v>66</v>
      </c>
      <c r="J53" s="75">
        <v>21.73</v>
      </c>
      <c r="K53" s="142">
        <v>293645.46999999974</v>
      </c>
      <c r="L53" s="256">
        <f>'[5]УК+ООО'!$K$66</f>
        <v>1142260.44</v>
      </c>
      <c r="M53" s="256">
        <f>'[5]УК+ООО'!$N$66</f>
        <v>1079461.21</v>
      </c>
      <c r="N53" s="256">
        <v>0</v>
      </c>
      <c r="O53" s="258">
        <f t="shared" si="2"/>
        <v>356444.6999999997</v>
      </c>
      <c r="P53" s="86"/>
      <c r="Q53" s="254">
        <v>948.36</v>
      </c>
      <c r="R53" s="254">
        <f>35422.8+3251.61</f>
        <v>38674.41</v>
      </c>
      <c r="S53" s="254">
        <f>21806.6+4606.45</f>
        <v>26413.05</v>
      </c>
      <c r="T53" s="254">
        <f t="shared" si="9"/>
        <v>13209.720000000005</v>
      </c>
      <c r="U53" s="15">
        <f>'[2]тариф начисл. 2019 с янв'!$P$59</f>
        <v>3678.78</v>
      </c>
      <c r="V53" s="15">
        <f>'[2]тариф начисл. 2019 с янв'!$O$59+'[2]авг'!$F$59</f>
        <v>51863.55</v>
      </c>
      <c r="W53" s="15">
        <f>'[2]тариф начисл. 2019 с янв'!$N$59</f>
        <v>321104.94</v>
      </c>
      <c r="X53" s="15"/>
      <c r="Y53" s="15"/>
      <c r="Z53" s="15">
        <f>'[2]тариф начисл. 2019 с янв'!$AC$59</f>
        <v>525.54</v>
      </c>
      <c r="AA53" s="15">
        <f>'[2]тариф начисл. 2019 с янв'!$AD$59+'[2]тариф начисл. 2019 с янв'!$AE$59</f>
        <v>49400.76</v>
      </c>
      <c r="AB53" s="15">
        <f>'[2]тариф начисл. 2019 с янв'!$AA$59</f>
        <v>2102.16</v>
      </c>
      <c r="AC53" s="15">
        <f>'[2]тариф начисл. 2019 с янв'!$AB$59+'[3]год'!$F$59</f>
        <v>3105.42</v>
      </c>
      <c r="AD53" s="15">
        <f>'[2]тариф начисл. 2019 с янв'!$Z$59</f>
        <v>46247.52</v>
      </c>
      <c r="AE53" s="15">
        <f>'[2]тариф начисл. 2019 с янв'!$V$59</f>
        <v>170274.96</v>
      </c>
      <c r="AF53" s="15"/>
      <c r="AG53" s="15">
        <f>'[2]тариф начисл. 2019 с янв'!$BA$59</f>
        <v>75677.76</v>
      </c>
      <c r="AH53" s="16">
        <f t="shared" si="10"/>
        <v>723981.39</v>
      </c>
      <c r="AI53" s="261">
        <f>'[4]тариф начисл. 2021 с янв'!$AJ$58</f>
        <v>163442.94</v>
      </c>
      <c r="AJ53" s="261">
        <f>'[2]тариф начисл. 2019 с янв'!$AO$59</f>
        <v>85663.02</v>
      </c>
      <c r="AK53" s="261">
        <f>'[2]тариф начисл. 2019 с янв'!$AS$59</f>
        <v>94071.66</v>
      </c>
      <c r="AL53" s="261">
        <f>'[2]тариф начисл. 2019 с янв'!$AW$59</f>
        <v>44670.9</v>
      </c>
      <c r="AM53" s="261">
        <f>'[2]тариф начисл. 2019 с янв'!$AZ$59</f>
        <v>76728.84</v>
      </c>
      <c r="AN53" s="16">
        <f t="shared" si="4"/>
        <v>464577.36</v>
      </c>
      <c r="AO53" s="16">
        <f t="shared" si="8"/>
        <v>1188558.75</v>
      </c>
      <c r="AP53" s="251">
        <f t="shared" si="5"/>
        <v>82684.49000000003</v>
      </c>
      <c r="AQ53" s="22">
        <f t="shared" si="6"/>
        <v>1105874.26</v>
      </c>
    </row>
    <row r="54" spans="1:43" ht="12.75">
      <c r="A54" s="4"/>
      <c r="B54" s="21"/>
      <c r="C54" s="144">
        <v>49</v>
      </c>
      <c r="D54" s="84" t="s">
        <v>6</v>
      </c>
      <c r="E54" s="73">
        <v>48</v>
      </c>
      <c r="F54" s="74" t="s">
        <v>32</v>
      </c>
      <c r="G54" s="74">
        <v>1958</v>
      </c>
      <c r="H54" s="68">
        <f>'[1]тариф начисл. 2018 с янв'!$I$59</f>
        <v>1328.3</v>
      </c>
      <c r="I54" s="85" t="s">
        <v>40</v>
      </c>
      <c r="J54" s="75">
        <v>20.88</v>
      </c>
      <c r="K54" s="142">
        <v>48951.600000000035</v>
      </c>
      <c r="L54" s="256">
        <f>'[5]УК+ООО'!$K$70</f>
        <v>251286.72</v>
      </c>
      <c r="M54" s="256">
        <f>'[5]УК+ООО'!$N$70</f>
        <v>274274.03</v>
      </c>
      <c r="N54" s="256">
        <v>0</v>
      </c>
      <c r="O54" s="258">
        <f t="shared" si="2"/>
        <v>25964.290000000037</v>
      </c>
      <c r="P54" s="86"/>
      <c r="Q54" s="254">
        <f>6755.87+9518.76+948.39</f>
        <v>17223.02</v>
      </c>
      <c r="R54" s="254">
        <f>2067.35+41338.4+20919.39+3251.61</f>
        <v>67576.75</v>
      </c>
      <c r="S54" s="254">
        <f>292.85+27493.02+17716.32+4606.45</f>
        <v>50108.64</v>
      </c>
      <c r="T54" s="254">
        <f t="shared" si="9"/>
        <v>34691.130000000005</v>
      </c>
      <c r="U54" s="15">
        <f>'[2]тариф начисл. 2019 с янв'!$P$60</f>
        <v>1115.77</v>
      </c>
      <c r="V54" s="15">
        <f>'[4]тариф начисл. 2021 с янв'!$O$59</f>
        <v>2072.15</v>
      </c>
      <c r="W54" s="15">
        <f>'[2]тариф начисл. 2019 с янв'!$N$60</f>
        <v>97390.96</v>
      </c>
      <c r="X54" s="15"/>
      <c r="Y54" s="15"/>
      <c r="Z54" s="15">
        <f>'[2]тариф начисл. 2019 с янв'!$AC$60</f>
        <v>159.4</v>
      </c>
      <c r="AA54" s="15">
        <f>'[2]тариф начисл. 2019 с янв'!$AD$60+'[2]тариф начисл. 2019 с янв'!$AE$60</f>
        <v>14983.22</v>
      </c>
      <c r="AB54" s="15">
        <f>'[2]тариф начисл. 2019 с янв'!$AA$60</f>
        <v>637.58</v>
      </c>
      <c r="AC54" s="15">
        <f>'[2]тариф начисл. 2019 с янв'!$AB$60+'[3]год'!$F$60</f>
        <v>1183.79</v>
      </c>
      <c r="AD54" s="15">
        <f>'[2]тариф начисл. 2019 с янв'!$Z$60</f>
        <v>14026.85</v>
      </c>
      <c r="AE54" s="15">
        <f>'[2]тариф начисл. 2019 с янв'!$V$60</f>
        <v>51644.3</v>
      </c>
      <c r="AF54" s="15"/>
      <c r="AG54" s="15">
        <f>'[2]тариф начисл. 2019 с янв'!$BA$60</f>
        <v>22953.02</v>
      </c>
      <c r="AH54" s="16">
        <f t="shared" si="10"/>
        <v>206167.04</v>
      </c>
      <c r="AI54" s="261">
        <f>'[3]тариф начисл. 2020 с янв'!$AJ$60</f>
        <v>49572.16</v>
      </c>
      <c r="AJ54" s="261">
        <f>'[2]тариф начисл. 2019 с янв'!$AO$60</f>
        <v>25981.55</v>
      </c>
      <c r="AK54" s="261">
        <f>'[2]тариф начисл. 2019 с янв'!$AS$60</f>
        <v>15142.62</v>
      </c>
      <c r="AL54" s="261">
        <f>'[2]тариф начисл. 2019 с янв'!$AW$60</f>
        <v>13389.26</v>
      </c>
      <c r="AM54" s="261">
        <f>'[2]тариф начисл. 2019 с янв'!$AZ$60</f>
        <v>23271.82</v>
      </c>
      <c r="AN54" s="16">
        <f t="shared" si="4"/>
        <v>127357.41</v>
      </c>
      <c r="AO54" s="16">
        <f t="shared" si="8"/>
        <v>333524.45</v>
      </c>
      <c r="AP54" s="251">
        <f t="shared" si="5"/>
        <v>9141.779999999984</v>
      </c>
      <c r="AQ54" s="22">
        <f t="shared" si="6"/>
        <v>324382.67000000004</v>
      </c>
    </row>
    <row r="55" spans="1:43" ht="12.75">
      <c r="A55" s="4">
        <v>45</v>
      </c>
      <c r="B55" s="21">
        <v>45</v>
      </c>
      <c r="C55" s="144">
        <v>50</v>
      </c>
      <c r="D55" s="84" t="s">
        <v>6</v>
      </c>
      <c r="E55" s="73">
        <v>50</v>
      </c>
      <c r="F55" s="74" t="s">
        <v>32</v>
      </c>
      <c r="G55" s="73">
        <v>1959</v>
      </c>
      <c r="H55" s="68">
        <f>'[1]тариф начисл. 2018 с янв'!$I$60</f>
        <v>1325.4</v>
      </c>
      <c r="I55" s="69" t="s">
        <v>40</v>
      </c>
      <c r="J55" s="75">
        <v>20.88</v>
      </c>
      <c r="K55" s="142">
        <v>20436.540000000037</v>
      </c>
      <c r="L55" s="256">
        <f>'[5]УК+ООО'!$K$71</f>
        <v>249081.6</v>
      </c>
      <c r="M55" s="256">
        <f>'[5]УК+ООО'!$N$71</f>
        <v>248775.11</v>
      </c>
      <c r="N55" s="256">
        <v>0</v>
      </c>
      <c r="O55" s="258">
        <f t="shared" si="2"/>
        <v>20743.030000000028</v>
      </c>
      <c r="P55" s="86"/>
      <c r="Q55" s="254">
        <f>3386.88+3021.85+1934.29</f>
        <v>8343.02</v>
      </c>
      <c r="R55" s="254">
        <f>2049.21+48021.12+28829.14+3537.5+33357.07</f>
        <v>115794.04000000001</v>
      </c>
      <c r="S55" s="254">
        <f>290.28+47386.08+29132.61+3187.5+33322.05</f>
        <v>113318.52</v>
      </c>
      <c r="T55" s="254">
        <f t="shared" si="9"/>
        <v>10818.540000000008</v>
      </c>
      <c r="U55" s="15">
        <f>'[2]тариф начисл. 2019 с янв'!$P$61</f>
        <v>1113.34</v>
      </c>
      <c r="V55" s="15">
        <f>'[4]тариф начисл. 2021 с янв'!$O$60</f>
        <v>2067.62</v>
      </c>
      <c r="W55" s="15">
        <f>'[2]тариф начисл. 2019 с янв'!$N$61</f>
        <v>97178.33</v>
      </c>
      <c r="X55" s="15"/>
      <c r="Y55" s="15"/>
      <c r="Z55" s="15">
        <f>'[2]тариф начисл. 2019 с янв'!$AC$61</f>
        <v>159.05</v>
      </c>
      <c r="AA55" s="15">
        <f>'[2]тариф начисл. 2019 с янв'!$AD$61+'[2]тариф начисл. 2019 с янв'!$AE$61</f>
        <v>14950.52</v>
      </c>
      <c r="AB55" s="15">
        <f>'[2]тариф начисл. 2019 с янв'!$AA$61</f>
        <v>636.19</v>
      </c>
      <c r="AC55" s="15">
        <f>'[3]тариф начисл. 2020 с янв'!$AB$61+'[3]год'!$F$61</f>
        <v>1969.44</v>
      </c>
      <c r="AD55" s="15">
        <f>'[2]тариф начисл. 2019 с янв'!$Z$61+5000</f>
        <v>18996.22</v>
      </c>
      <c r="AE55" s="15">
        <f>'[2]тариф начисл. 2019 с янв'!$V$61</f>
        <v>51531.55</v>
      </c>
      <c r="AF55" s="15"/>
      <c r="AG55" s="15">
        <f>'[2]тариф начисл. 2019 с янв'!$BA$61</f>
        <v>22902.91</v>
      </c>
      <c r="AH55" s="16">
        <f t="shared" si="10"/>
        <v>211505.17</v>
      </c>
      <c r="AI55" s="261">
        <f>'[4]тариф начисл. 2021 с янв'!$AJ$60+5000</f>
        <v>54463.93</v>
      </c>
      <c r="AJ55" s="261">
        <f>'[4]тариф начисл. 2021 с янв'!$AO$60+5000</f>
        <v>30924.82</v>
      </c>
      <c r="AK55" s="261">
        <f>'[2]тариф начисл. 2019 с янв'!$AS$61+10000</f>
        <v>25109.559999999998</v>
      </c>
      <c r="AL55" s="261">
        <f>'[4]тариф начисл. 2021 с янв'!$AW$60+8000</f>
        <v>21360.03</v>
      </c>
      <c r="AM55" s="261">
        <f>'[4]тариф начисл. 2021 с янв'!$AZ$60+3000</f>
        <v>26221.01</v>
      </c>
      <c r="AN55" s="16">
        <f t="shared" si="4"/>
        <v>158079.35</v>
      </c>
      <c r="AO55" s="16">
        <f t="shared" si="8"/>
        <v>369584.52</v>
      </c>
      <c r="AP55" s="251">
        <f t="shared" si="5"/>
        <v>7490.8900000000285</v>
      </c>
      <c r="AQ55" s="22">
        <f t="shared" si="6"/>
        <v>362093.63</v>
      </c>
    </row>
    <row r="56" spans="1:43" ht="12.75">
      <c r="A56" s="4">
        <v>47</v>
      </c>
      <c r="B56" s="21">
        <v>47</v>
      </c>
      <c r="C56" s="144">
        <v>51</v>
      </c>
      <c r="D56" s="84" t="s">
        <v>6</v>
      </c>
      <c r="E56" s="73" t="s">
        <v>23</v>
      </c>
      <c r="F56" s="74" t="s">
        <v>32</v>
      </c>
      <c r="G56" s="73">
        <v>1986</v>
      </c>
      <c r="H56" s="68">
        <f>'[1]тариф начисл. 2018 с янв'!$I$61</f>
        <v>1796</v>
      </c>
      <c r="I56" s="69" t="s">
        <v>40</v>
      </c>
      <c r="J56" s="75">
        <v>21.73</v>
      </c>
      <c r="K56" s="142">
        <v>155999.23000000004</v>
      </c>
      <c r="L56" s="256">
        <f>'[5]УК+ООО'!$K$59</f>
        <v>468324.96</v>
      </c>
      <c r="M56" s="256">
        <f>'[5]УК+ООО'!$N$59</f>
        <v>468006.19</v>
      </c>
      <c r="N56" s="256">
        <v>0</v>
      </c>
      <c r="O56" s="258">
        <f t="shared" si="2"/>
        <v>156318.00000000006</v>
      </c>
      <c r="P56" s="86"/>
      <c r="Q56" s="254">
        <v>1021.94</v>
      </c>
      <c r="R56" s="254">
        <v>3065.82</v>
      </c>
      <c r="S56" s="254">
        <v>3832.28</v>
      </c>
      <c r="T56" s="254">
        <f t="shared" si="9"/>
        <v>255.48000000000002</v>
      </c>
      <c r="U56" s="15">
        <f>'[2]тариф начисл. 2019 с янв'!$P$62</f>
        <v>1508.64</v>
      </c>
      <c r="V56" s="15">
        <f>'[2]тариф начисл. 2019 с янв'!$O$62+'[2]авг'!$F$62</f>
        <v>66306.99</v>
      </c>
      <c r="W56" s="15">
        <f>'[2]тариф начисл. 2019 с янв'!$N$62</f>
        <v>131682.72</v>
      </c>
      <c r="X56" s="15"/>
      <c r="Y56" s="15"/>
      <c r="Z56" s="15">
        <f>'[2]тариф начисл. 2019 с янв'!$AC$62</f>
        <v>215.52</v>
      </c>
      <c r="AA56" s="15">
        <f>'[2]тариф начисл. 2019 с янв'!$AD$62+'[2]тариф начисл. 2019 с янв'!$AE$62</f>
        <v>20258.88</v>
      </c>
      <c r="AB56" s="15">
        <f>'[2]тариф начисл. 2019 с янв'!$AA$62</f>
        <v>862.08</v>
      </c>
      <c r="AC56" s="15">
        <f>'[2]тариф начисл. 2019 с янв'!$AB$62+'[3]год'!$F$62</f>
        <v>1828.1399999999999</v>
      </c>
      <c r="AD56" s="15">
        <f>'[2]тариф начисл. 2019 с янв'!$Z$62</f>
        <v>18965.76</v>
      </c>
      <c r="AE56" s="15">
        <f>'[2]тариф начисл. 2019 с янв'!$V$62</f>
        <v>69828.48</v>
      </c>
      <c r="AF56" s="15"/>
      <c r="AG56" s="15">
        <f>'[2]тариф начисл. 2019 с янв'!$BA$62</f>
        <v>31034.88</v>
      </c>
      <c r="AH56" s="16">
        <f t="shared" si="10"/>
        <v>342492.09</v>
      </c>
      <c r="AI56" s="261">
        <f>'[4]тариф начисл. 2021 с янв'!$AJ$61</f>
        <v>67026.72</v>
      </c>
      <c r="AJ56" s="261">
        <f>'[2]тариф начисл. 2019 с янв'!$AO$62</f>
        <v>35129.76</v>
      </c>
      <c r="AK56" s="261">
        <f>'[2]тариф начисл. 2019 с янв'!$AS$62</f>
        <v>38578.08</v>
      </c>
      <c r="AL56" s="261">
        <f>'[2]тариф начисл. 2019 с янв'!$AW$62</f>
        <v>18319.2</v>
      </c>
      <c r="AM56" s="261">
        <f>'[2]тариф начисл. 2019 с янв'!$AZ$62</f>
        <v>31465.92</v>
      </c>
      <c r="AN56" s="16">
        <f t="shared" si="4"/>
        <v>190519.68</v>
      </c>
      <c r="AO56" s="16">
        <f t="shared" si="8"/>
        <v>533011.77</v>
      </c>
      <c r="AP56" s="250">
        <f t="shared" si="5"/>
        <v>61173.30000000002</v>
      </c>
      <c r="AQ56" s="22">
        <f t="shared" si="6"/>
        <v>471838.47000000003</v>
      </c>
    </row>
    <row r="57" spans="1:43" ht="12.75">
      <c r="A57" s="4">
        <v>56</v>
      </c>
      <c r="B57" s="20">
        <v>55</v>
      </c>
      <c r="C57" s="144">
        <v>52</v>
      </c>
      <c r="D57" s="84" t="s">
        <v>10</v>
      </c>
      <c r="E57" s="73">
        <v>14</v>
      </c>
      <c r="F57" s="73" t="s">
        <v>65</v>
      </c>
      <c r="G57" s="74">
        <v>1970</v>
      </c>
      <c r="H57" s="68">
        <f>'[1]тариф начисл. 2018 с янв'!$I$62</f>
        <v>2691.4</v>
      </c>
      <c r="I57" s="69" t="s">
        <v>40</v>
      </c>
      <c r="J57" s="75">
        <v>20.88</v>
      </c>
      <c r="K57" s="142">
        <v>172209.40000000014</v>
      </c>
      <c r="L57" s="256">
        <f>'[5]УК+ООО'!$K$77</f>
        <v>674357.28</v>
      </c>
      <c r="M57" s="256">
        <f>'[5]УК+ООО'!$N$77</f>
        <v>676036.04</v>
      </c>
      <c r="N57" s="256">
        <v>0</v>
      </c>
      <c r="O57" s="258">
        <f t="shared" si="2"/>
        <v>170530.64000000013</v>
      </c>
      <c r="P57" s="86"/>
      <c r="Q57" s="254">
        <v>1553.48</v>
      </c>
      <c r="R57" s="254">
        <f>844.72+4660.43</f>
        <v>5505.150000000001</v>
      </c>
      <c r="S57" s="254">
        <f>844.72+5825.54</f>
        <v>6670.26</v>
      </c>
      <c r="T57" s="254">
        <f t="shared" si="9"/>
        <v>388.3700000000008</v>
      </c>
      <c r="U57" s="15">
        <f>'[2]тариф начисл. 2019 с янв'!$P$63</f>
        <v>2260.78</v>
      </c>
      <c r="V57" s="15">
        <f>'[2]тариф начисл. 2019 с янв'!$O$63+'[2]авг'!$F$63</f>
        <v>54177.47</v>
      </c>
      <c r="W57" s="15">
        <f>'[2]тариф начисл. 2019 с янв'!$N$63</f>
        <v>197333.45</v>
      </c>
      <c r="X57" s="15"/>
      <c r="Y57" s="15"/>
      <c r="Z57" s="15">
        <f>'[2]тариф начисл. 2019 с янв'!$AC$63</f>
        <v>322.97</v>
      </c>
      <c r="AA57" s="15">
        <f>'[2]тариф начисл. 2019 с янв'!$AD$63+'[2]тариф начисл. 2019 с янв'!$AE$63</f>
        <v>30359</v>
      </c>
      <c r="AB57" s="15">
        <f>'[2]тариф начисл. 2019 с янв'!$AA$63</f>
        <v>1291.87</v>
      </c>
      <c r="AC57" s="15">
        <f>'[3]тариф начисл. 2020 с янв'!$AB$63+'[3]год'!$F$63</f>
        <v>1762.55</v>
      </c>
      <c r="AD57" s="15">
        <f>'[2]тариф начисл. 2019 с янв'!$Z$63</f>
        <v>28421.18</v>
      </c>
      <c r="AE57" s="15">
        <f>'[2]тариф начисл. 2019 с янв'!$V$63</f>
        <v>104641.63</v>
      </c>
      <c r="AF57" s="15"/>
      <c r="AG57" s="15">
        <f>'[2]тариф начисл. 2019 с янв'!$BA$63</f>
        <v>46507.39</v>
      </c>
      <c r="AH57" s="16">
        <f t="shared" si="10"/>
        <v>467078.29000000004</v>
      </c>
      <c r="AI57" s="261">
        <f>'[4]тариф начисл. 2021 с янв'!$AJ$62</f>
        <v>100443.05</v>
      </c>
      <c r="AJ57" s="261">
        <f>'[2]тариф начисл. 2019 с янв'!$AO$63</f>
        <v>52643.78</v>
      </c>
      <c r="AK57" s="261">
        <f>'[2]тариф начисл. 2019 с янв'!$AS$63</f>
        <v>30681.96</v>
      </c>
      <c r="AL57" s="261">
        <f>'[2]тариф начисл. 2019 с янв'!$AW$63</f>
        <v>27129.31</v>
      </c>
      <c r="AM57" s="261">
        <f>'[2]тариф начисл. 2019 с янв'!$AZ$63</f>
        <v>47153.33</v>
      </c>
      <c r="AN57" s="16">
        <f t="shared" si="4"/>
        <v>258051.43</v>
      </c>
      <c r="AO57" s="16">
        <f t="shared" si="8"/>
        <v>725129.72</v>
      </c>
      <c r="AP57" s="250">
        <f t="shared" si="5"/>
        <v>42423.41999999993</v>
      </c>
      <c r="AQ57" s="22">
        <f t="shared" si="6"/>
        <v>682706.3</v>
      </c>
    </row>
    <row r="58" spans="1:43" ht="12.75">
      <c r="A58" s="4"/>
      <c r="B58" s="20"/>
      <c r="C58" s="144">
        <v>53</v>
      </c>
      <c r="D58" s="84" t="s">
        <v>10</v>
      </c>
      <c r="E58" s="73">
        <v>21</v>
      </c>
      <c r="F58" s="83" t="s">
        <v>121</v>
      </c>
      <c r="G58" s="74">
        <v>2016</v>
      </c>
      <c r="H58" s="68">
        <f>'[1]тариф начисл. 2018 с янв'!$I$63</f>
        <v>2995</v>
      </c>
      <c r="I58" s="85" t="s">
        <v>40</v>
      </c>
      <c r="J58" s="75">
        <v>33.45</v>
      </c>
      <c r="K58" s="142">
        <v>390023.03</v>
      </c>
      <c r="L58" s="256">
        <f>'[5]УК+ООО'!$K$85</f>
        <v>1052191.2</v>
      </c>
      <c r="M58" s="256">
        <f>'[5]УК+ООО'!$N$85</f>
        <v>1111182.98</v>
      </c>
      <c r="N58" s="256">
        <v>0</v>
      </c>
      <c r="O58" s="258">
        <f t="shared" si="2"/>
        <v>331031.25</v>
      </c>
      <c r="P58" s="86"/>
      <c r="Q58" s="254">
        <v>0</v>
      </c>
      <c r="R58" s="254">
        <v>198952.22</v>
      </c>
      <c r="S58" s="254">
        <v>198952.22</v>
      </c>
      <c r="T58" s="254">
        <f t="shared" si="9"/>
        <v>0</v>
      </c>
      <c r="U58" s="15">
        <f>'[2]тариф начисл. 2019 с янв'!$P$64</f>
        <v>2515.8</v>
      </c>
      <c r="V58" s="15">
        <f>'[4]тариф начисл. 2021 с янв'!$O$63</f>
        <v>4672.2</v>
      </c>
      <c r="W58" s="15">
        <f>'[2]тариф начисл. 2019 с янв'!$N$64</f>
        <v>219593.4</v>
      </c>
      <c r="X58" s="15"/>
      <c r="Y58" s="15">
        <f>'[4]тариф начисл. 2021 с янв'!$BE$63+'[4]год'!$Z$63</f>
        <v>470890.6</v>
      </c>
      <c r="Z58" s="15">
        <f>'[2]тариф начисл. 2019 с янв'!$AC$64</f>
        <v>359.4</v>
      </c>
      <c r="AA58" s="15">
        <f>'[2]тариф начисл. 2019 с янв'!$AD$64+'[2]тариф начисл. 2019 с янв'!$AE$64</f>
        <v>33783.6</v>
      </c>
      <c r="AB58" s="15">
        <f>'[2]тариф начисл. 2019 с янв'!$AA$64</f>
        <v>1437.6</v>
      </c>
      <c r="AC58" s="15">
        <f>'[2]тариф начисл. 2019 с янв'!$AB$64+'[3]год'!$F$63</f>
        <v>1871.85</v>
      </c>
      <c r="AD58" s="15">
        <f>'[2]тариф начисл. 2019 с янв'!$Z$64</f>
        <v>31627.2</v>
      </c>
      <c r="AE58" s="15">
        <f>'[2]тариф начисл. 2019 с янв'!$V$64</f>
        <v>116445.6</v>
      </c>
      <c r="AF58" s="15"/>
      <c r="AG58" s="15">
        <f>'[2]тариф начисл. 2019 с янв'!$BA$64</f>
        <v>51753.6</v>
      </c>
      <c r="AH58" s="16">
        <f t="shared" si="10"/>
        <v>934950.8499999999</v>
      </c>
      <c r="AI58" s="261">
        <f>'[4]тариф начисл. 2021 с янв'!$AJ$63+'[4]год'!$R$63</f>
        <v>119099.6</v>
      </c>
      <c r="AJ58" s="261">
        <f>'[4]тариф начисл. 2021 с янв'!$AO$63+20000</f>
        <v>78582.2</v>
      </c>
      <c r="AK58" s="261">
        <f>'[4]тариф начисл. 2021 с янв'!$AS$63+20000</f>
        <v>84332.6</v>
      </c>
      <c r="AL58" s="261">
        <f>'[2]тариф начисл. 2019 с янв'!$AW$64+15000</f>
        <v>45549</v>
      </c>
      <c r="AM58" s="261">
        <f>'[4]тариф начисл. 2021 с янв'!$AZ$63</f>
        <v>52472.4</v>
      </c>
      <c r="AN58" s="16">
        <f t="shared" si="4"/>
        <v>380035.80000000005</v>
      </c>
      <c r="AO58" s="16">
        <f t="shared" si="8"/>
        <v>1314986.65</v>
      </c>
      <c r="AP58" s="251">
        <f>AO58-M58-S58</f>
        <v>4851.449999999924</v>
      </c>
      <c r="AQ58" s="22">
        <f t="shared" si="6"/>
        <v>1310135.2</v>
      </c>
    </row>
    <row r="59" spans="1:43" ht="12.75">
      <c r="A59" s="4">
        <v>64</v>
      </c>
      <c r="B59" s="21">
        <v>63</v>
      </c>
      <c r="C59" s="144">
        <v>54</v>
      </c>
      <c r="D59" s="84" t="s">
        <v>10</v>
      </c>
      <c r="E59" s="73">
        <v>43</v>
      </c>
      <c r="F59" s="74" t="s">
        <v>32</v>
      </c>
      <c r="G59" s="73">
        <v>1959</v>
      </c>
      <c r="H59" s="68">
        <f>'[1]тариф начисл. 2018 с янв'!$I$64</f>
        <v>1263.6</v>
      </c>
      <c r="I59" s="69" t="s">
        <v>40</v>
      </c>
      <c r="J59" s="75">
        <v>20.88</v>
      </c>
      <c r="K59" s="142">
        <v>47568.5</v>
      </c>
      <c r="L59" s="256">
        <f>'[5]УК+ООО'!$K$91</f>
        <v>302375.76</v>
      </c>
      <c r="M59" s="256">
        <f>'[5]УК+ООО'!$N$91</f>
        <v>301480.46</v>
      </c>
      <c r="N59" s="256">
        <v>0</v>
      </c>
      <c r="O59" s="258">
        <f t="shared" si="2"/>
        <v>48463.79999999999</v>
      </c>
      <c r="P59" s="86"/>
      <c r="Q59" s="254">
        <v>0</v>
      </c>
      <c r="R59" s="254">
        <f>3537.5+19970.13</f>
        <v>23507.63</v>
      </c>
      <c r="S59" s="254">
        <f>3187.5+15094.79</f>
        <v>18282.29</v>
      </c>
      <c r="T59" s="254">
        <f t="shared" si="9"/>
        <v>5225.34</v>
      </c>
      <c r="U59" s="15">
        <f>'[2]тариф начисл. 2019 с янв'!$P$65</f>
        <v>1061.42</v>
      </c>
      <c r="V59" s="15">
        <f>'[4]тариф начисл. 2021 с янв'!$O$64+'[4]год'!$G$64</f>
        <v>4244.47</v>
      </c>
      <c r="W59" s="15">
        <f>'[2]тариф начисл. 2019 с янв'!$N$65</f>
        <v>92647.15</v>
      </c>
      <c r="X59" s="15"/>
      <c r="Y59" s="15"/>
      <c r="Z59" s="15">
        <f>'[2]тариф начисл. 2019 с янв'!$AC$65</f>
        <v>151.63</v>
      </c>
      <c r="AA59" s="15">
        <f>'[2]тариф начисл. 2019 с янв'!$AD$65+'[2]тариф начисл. 2019 с янв'!$AE$65</f>
        <v>14253.4</v>
      </c>
      <c r="AB59" s="15">
        <f>'[2]тариф начисл. 2019 с янв'!$AA$65</f>
        <v>606.53</v>
      </c>
      <c r="AC59" s="15">
        <f>'[2]тариф начисл. 2019 с янв'!$AB$65+'[3]год'!$F$65</f>
        <v>3124.26</v>
      </c>
      <c r="AD59" s="15">
        <f>'[2]тариф начисл. 2019 с янв'!$Z$65</f>
        <v>13343.62</v>
      </c>
      <c r="AE59" s="15">
        <f>'[2]тариф начисл. 2019 с янв'!$V$65</f>
        <v>49128.77</v>
      </c>
      <c r="AF59" s="15"/>
      <c r="AG59" s="15">
        <f>'[2]тариф начисл. 2019 с янв'!$BA$65</f>
        <v>21835.01</v>
      </c>
      <c r="AH59" s="16">
        <f t="shared" si="10"/>
        <v>200396.25999999998</v>
      </c>
      <c r="AI59" s="261">
        <f>'[4]тариф начисл. 2021 с янв'!$AJ$64+'[4]год'!$Q$64</f>
        <v>92805.55</v>
      </c>
      <c r="AJ59" s="261">
        <f>'[2]тариф начисл. 2019 с янв'!$AO$65</f>
        <v>24716.02</v>
      </c>
      <c r="AK59" s="261">
        <f>'[2]тариф начисл. 2019 с янв'!$AS$65</f>
        <v>14405.04</v>
      </c>
      <c r="AL59" s="261">
        <f>'[2]тариф начисл. 2019 с янв'!$AW$65</f>
        <v>12737.09</v>
      </c>
      <c r="AM59" s="261">
        <f>'[2]тариф начисл. 2019 с янв'!$AZ$65</f>
        <v>22138.27</v>
      </c>
      <c r="AN59" s="16">
        <f t="shared" si="4"/>
        <v>166801.97</v>
      </c>
      <c r="AO59" s="16">
        <f t="shared" si="8"/>
        <v>367198.23</v>
      </c>
      <c r="AP59" s="251">
        <f t="shared" si="5"/>
        <v>47435.47999999996</v>
      </c>
      <c r="AQ59" s="22">
        <f t="shared" si="6"/>
        <v>319762.75</v>
      </c>
    </row>
    <row r="60" spans="1:43" ht="12.75">
      <c r="A60" s="4">
        <v>65</v>
      </c>
      <c r="B60" s="20">
        <v>64</v>
      </c>
      <c r="C60" s="144">
        <v>55</v>
      </c>
      <c r="D60" s="84" t="s">
        <v>10</v>
      </c>
      <c r="E60" s="73">
        <v>45</v>
      </c>
      <c r="F60" s="74" t="s">
        <v>32</v>
      </c>
      <c r="G60" s="73">
        <v>1959</v>
      </c>
      <c r="H60" s="68">
        <f>'[1]тариф начисл. 2018 с янв'!$I$65</f>
        <v>1986.8</v>
      </c>
      <c r="I60" s="69" t="s">
        <v>40</v>
      </c>
      <c r="J60" s="75">
        <v>20.88</v>
      </c>
      <c r="K60" s="142">
        <v>105764.29000000007</v>
      </c>
      <c r="L60" s="256">
        <f>'[5]УК+ООО'!$K$93</f>
        <v>475888.56</v>
      </c>
      <c r="M60" s="256">
        <f>'[5]УК+ООО'!$N$93</f>
        <v>464973.94</v>
      </c>
      <c r="N60" s="256">
        <v>0</v>
      </c>
      <c r="O60" s="258">
        <f t="shared" si="2"/>
        <v>116678.91000000009</v>
      </c>
      <c r="P60" s="86"/>
      <c r="Q60" s="254">
        <v>0</v>
      </c>
      <c r="R60" s="254">
        <f>3537.5+30983.07</f>
        <v>34520.57</v>
      </c>
      <c r="S60" s="254">
        <f>3187.5+30983.07</f>
        <v>34170.57</v>
      </c>
      <c r="T60" s="254">
        <f t="shared" si="9"/>
        <v>350</v>
      </c>
      <c r="U60" s="15">
        <f>'[2]тариф начисл. 2019 с янв'!$P$66</f>
        <v>1668.91</v>
      </c>
      <c r="V60" s="15">
        <f>'[2]тариф начисл. 2019 с янв'!$O$66+'[2]авг'!$F$66</f>
        <v>6885.049999999999</v>
      </c>
      <c r="W60" s="15">
        <f>'[2]тариф начисл. 2019 с янв'!$N$66</f>
        <v>145672.18</v>
      </c>
      <c r="X60" s="15"/>
      <c r="Y60" s="15"/>
      <c r="Z60" s="15">
        <f>'[2]тариф начисл. 2019 с янв'!$AC$66</f>
        <v>238.42</v>
      </c>
      <c r="AA60" s="15">
        <f>'[2]тариф начисл. 2019 с янв'!$AD$66+'[2]тариф начисл. 2019 с янв'!$AE$66</f>
        <v>22411.1</v>
      </c>
      <c r="AB60" s="15">
        <f>'[2]тариф начисл. 2019 с янв'!$AA$66</f>
        <v>953.66</v>
      </c>
      <c r="AC60" s="15">
        <f>'[3]тариф начисл. 2020 с янв'!$AB$66+'[3]год'!$F$66</f>
        <v>3586.99</v>
      </c>
      <c r="AD60" s="15">
        <f>'[2]тариф начисл. 2019 с янв'!$Z$66+3000</f>
        <v>23980.61</v>
      </c>
      <c r="AE60" s="15">
        <f>'[2]тариф начисл. 2019 с янв'!$V$66</f>
        <v>77246.78</v>
      </c>
      <c r="AF60" s="15"/>
      <c r="AG60" s="15">
        <f>'[2]тариф начисл. 2019 с янв'!$BA$66</f>
        <v>34331.9</v>
      </c>
      <c r="AH60" s="16">
        <f t="shared" si="10"/>
        <v>316975.6</v>
      </c>
      <c r="AI60" s="261">
        <f>'[4]тариф начисл. 2021 с янв'!$AJ$65</f>
        <v>74147.38</v>
      </c>
      <c r="AJ60" s="261">
        <f>'[4]тариф начисл. 2021 с янв'!$AO$65</f>
        <v>38861.81</v>
      </c>
      <c r="AK60" s="261">
        <f>'[2]тариф начисл. 2019 с янв'!$AS$66</f>
        <v>22649.52</v>
      </c>
      <c r="AL60" s="261">
        <f>'[2]тариф начисл. 2019 с янв'!$AW$66</f>
        <v>20026.94</v>
      </c>
      <c r="AM60" s="261">
        <f>'[2]тариф начисл. 2019 с янв'!$AZ$66</f>
        <v>34808.74</v>
      </c>
      <c r="AN60" s="16">
        <f t="shared" si="4"/>
        <v>190494.38999999998</v>
      </c>
      <c r="AO60" s="16">
        <f t="shared" si="8"/>
        <v>507469.99</v>
      </c>
      <c r="AP60" s="251">
        <f t="shared" si="5"/>
        <v>8325.479999999989</v>
      </c>
      <c r="AQ60" s="22">
        <f t="shared" si="6"/>
        <v>499144.51</v>
      </c>
    </row>
    <row r="61" spans="1:43" ht="12.75">
      <c r="A61" s="4">
        <v>66</v>
      </c>
      <c r="B61" s="21">
        <v>65</v>
      </c>
      <c r="C61" s="144">
        <v>56</v>
      </c>
      <c r="D61" s="84" t="s">
        <v>10</v>
      </c>
      <c r="E61" s="73">
        <v>47</v>
      </c>
      <c r="F61" s="74" t="s">
        <v>32</v>
      </c>
      <c r="G61" s="73">
        <v>1960</v>
      </c>
      <c r="H61" s="68">
        <f>'[2]тариф начисл. 2019 с янв'!$I$67</f>
        <v>1587.7</v>
      </c>
      <c r="I61" s="69" t="s">
        <v>40</v>
      </c>
      <c r="J61" s="75">
        <v>20.88</v>
      </c>
      <c r="K61" s="142">
        <v>142575.27999999997</v>
      </c>
      <c r="L61" s="256">
        <f>'[5]УК+ООО'!$K$95</f>
        <v>342079.22</v>
      </c>
      <c r="M61" s="256">
        <f>'[5]УК+ООО'!$N$95</f>
        <v>334745.3</v>
      </c>
      <c r="N61" s="256">
        <v>0</v>
      </c>
      <c r="O61" s="258">
        <f t="shared" si="2"/>
        <v>149909.19999999995</v>
      </c>
      <c r="P61" s="86"/>
      <c r="Q61" s="254">
        <f>1535.95+0+5053.32+0</f>
        <v>6589.2699999999995</v>
      </c>
      <c r="R61" s="254">
        <f>3537.5+21128.54+21786.75+14646.76+10768.51</f>
        <v>71868.06</v>
      </c>
      <c r="S61" s="254">
        <f>3187.5+19588.35+18667.15+14630+10767.93</f>
        <v>66840.93</v>
      </c>
      <c r="T61" s="254">
        <f t="shared" si="9"/>
        <v>11616.400000000009</v>
      </c>
      <c r="U61" s="15">
        <f>'[2]тариф начисл. 2019 с янв'!$P$67</f>
        <v>1333.67</v>
      </c>
      <c r="V61" s="15">
        <f>'[4]тариф начисл. 2021 с янв'!$O$66</f>
        <v>2476.81</v>
      </c>
      <c r="W61" s="15">
        <f>'[2]тариф начисл. 2019 с янв'!$N$67</f>
        <v>116410.16</v>
      </c>
      <c r="X61" s="15"/>
      <c r="Y61" s="15"/>
      <c r="Z61" s="15">
        <f>'[2]тариф начисл. 2019 с янв'!$AC$67</f>
        <v>190.52</v>
      </c>
      <c r="AA61" s="15">
        <f>'[2]тариф начисл. 2019 с янв'!$AD$67+'[2]тариф начисл. 2019 с янв'!$AE$67</f>
        <v>17909.26</v>
      </c>
      <c r="AB61" s="15">
        <f>'[2]тариф начисл. 2019 с янв'!$AA$67</f>
        <v>762.1</v>
      </c>
      <c r="AC61" s="15">
        <f>'[2]тариф начисл. 2019 с янв'!$AB$67+'[3]год'!$F$67</f>
        <v>1585.29</v>
      </c>
      <c r="AD61" s="15">
        <f>'[2]тариф начисл. 2019 с янв'!$Z$67</f>
        <v>16766.11</v>
      </c>
      <c r="AE61" s="15">
        <f>'[2]тариф начисл. 2019 с янв'!$V$67</f>
        <v>61729.78</v>
      </c>
      <c r="AF61" s="15"/>
      <c r="AG61" s="15">
        <f>'[2]тариф начисл. 2019 с янв'!$BA$67</f>
        <v>27435.46</v>
      </c>
      <c r="AH61" s="16">
        <f t="shared" si="10"/>
        <v>246599.16000000003</v>
      </c>
      <c r="AI61" s="261">
        <f>'[4]тариф начисл. 2021 с янв'!$AJ$66+'[4]год'!$R$66</f>
        <v>96884.95999999999</v>
      </c>
      <c r="AJ61" s="261">
        <f>'[2]тариф начисл. 2019 с янв'!$AO$67</f>
        <v>31055.41</v>
      </c>
      <c r="AK61" s="261">
        <f>'[2]тариф начисл. 2019 с янв'!$AS$67</f>
        <v>18099.78</v>
      </c>
      <c r="AL61" s="261">
        <f>'[2]тариф начисл. 2019 с янв'!$AW$67</f>
        <v>16004.02</v>
      </c>
      <c r="AM61" s="261">
        <f>'[2]тариф начисл. 2019 с янв'!$AZ$67</f>
        <v>27816.5</v>
      </c>
      <c r="AN61" s="16">
        <f t="shared" si="4"/>
        <v>189860.66999999998</v>
      </c>
      <c r="AO61" s="16">
        <f t="shared" si="8"/>
        <v>436459.83</v>
      </c>
      <c r="AP61" s="251">
        <f t="shared" si="5"/>
        <v>34873.600000000035</v>
      </c>
      <c r="AQ61" s="22">
        <f t="shared" si="6"/>
        <v>401586.23</v>
      </c>
    </row>
    <row r="62" spans="1:43" ht="12.75">
      <c r="A62" s="4">
        <v>73</v>
      </c>
      <c r="B62" s="25">
        <v>72</v>
      </c>
      <c r="C62" s="144">
        <v>57</v>
      </c>
      <c r="D62" s="84" t="s">
        <v>10</v>
      </c>
      <c r="E62" s="73" t="s">
        <v>24</v>
      </c>
      <c r="F62" s="73" t="s">
        <v>65</v>
      </c>
      <c r="G62" s="74">
        <v>1980</v>
      </c>
      <c r="H62" s="68">
        <f>'[1]тариф начисл. 2018 с янв'!$I$67</f>
        <v>2689.4</v>
      </c>
      <c r="I62" s="75" t="s">
        <v>40</v>
      </c>
      <c r="J62" s="75">
        <v>21.73</v>
      </c>
      <c r="K62" s="142">
        <v>101945.00000000035</v>
      </c>
      <c r="L62" s="256">
        <f>'[5]УК+ООО'!$K$80</f>
        <v>701288.64</v>
      </c>
      <c r="M62" s="256">
        <f>'[5]УК+ООО'!$N$80</f>
        <v>684251.25</v>
      </c>
      <c r="N62" s="256">
        <v>0</v>
      </c>
      <c r="O62" s="258">
        <f t="shared" si="2"/>
        <v>118982.39000000036</v>
      </c>
      <c r="P62" s="86"/>
      <c r="Q62" s="254">
        <f>948.39+1553.48</f>
        <v>2501.87</v>
      </c>
      <c r="R62" s="254">
        <f>3251.61+4660.43</f>
        <v>7912.040000000001</v>
      </c>
      <c r="S62" s="254">
        <f>4606.45+5825.54</f>
        <v>10431.99</v>
      </c>
      <c r="T62" s="254">
        <f t="shared" si="9"/>
        <v>-18.079999999999927</v>
      </c>
      <c r="U62" s="15">
        <f>'[2]тариф начисл. 2019 с янв'!$P$68</f>
        <v>2259.1</v>
      </c>
      <c r="V62" s="15">
        <f>'[2]тариф начисл. 2019 с янв'!$O$68+'[2]авг'!$F$68</f>
        <v>48977.18</v>
      </c>
      <c r="W62" s="15">
        <f>'[2]тариф начисл. 2019 с янв'!$N$68</f>
        <v>197186.81</v>
      </c>
      <c r="X62" s="15"/>
      <c r="Y62" s="15"/>
      <c r="Z62" s="15">
        <f>'[2]тариф начисл. 2019 с янв'!$AC$68</f>
        <v>322.73</v>
      </c>
      <c r="AA62" s="15">
        <f>'[2]тариф начисл. 2019 с янв'!$AD$68+'[2]тариф начисл. 2019 с янв'!$AE$68</f>
        <v>30336.44</v>
      </c>
      <c r="AB62" s="15">
        <f>'[2]тариф начисл. 2019 с янв'!$AA$68</f>
        <v>1290.91</v>
      </c>
      <c r="AC62" s="15">
        <f>'[2]тариф начисл. 2019 с янв'!$AB$68+'[3]год'!$F$68</f>
        <v>1395.9499999999998</v>
      </c>
      <c r="AD62" s="15">
        <f>'[2]тариф начисл. 2019 с янв'!$Z$68</f>
        <v>28400.06</v>
      </c>
      <c r="AE62" s="15">
        <f>'[2]тариф начисл. 2019 с янв'!$V$68</f>
        <v>104563.87</v>
      </c>
      <c r="AF62" s="15"/>
      <c r="AG62" s="15">
        <f>'[2]тариф начисл. 2019 с янв'!$BA$68</f>
        <v>46472.83</v>
      </c>
      <c r="AH62" s="16">
        <f t="shared" si="10"/>
        <v>461205.88</v>
      </c>
      <c r="AI62" s="261">
        <f>'[4]тариф начисл. 2021 с янв'!$AJ$67+'[4]год'!$R$67</f>
        <v>100728.41</v>
      </c>
      <c r="AJ62" s="261">
        <f>'[2]тариф начисл. 2019 с янв'!$AO$68</f>
        <v>52604.66</v>
      </c>
      <c r="AK62" s="261">
        <f>'[2]тариф начисл. 2019 с янв'!$AS$68</f>
        <v>57768.31</v>
      </c>
      <c r="AL62" s="261">
        <f>'[2]тариф начисл. 2019 с янв'!$AW$68</f>
        <v>27431.88</v>
      </c>
      <c r="AM62" s="261">
        <f>'[2]тариф начисл. 2019 с янв'!$AZ$68</f>
        <v>47118.29</v>
      </c>
      <c r="AN62" s="16">
        <f t="shared" si="4"/>
        <v>285651.55</v>
      </c>
      <c r="AO62" s="16">
        <f t="shared" si="8"/>
        <v>746857.4299999999</v>
      </c>
      <c r="AP62" s="251">
        <f t="shared" si="5"/>
        <v>52174.18999999994</v>
      </c>
      <c r="AQ62" s="22">
        <f t="shared" si="6"/>
        <v>694683.24</v>
      </c>
    </row>
    <row r="63" spans="1:43" ht="12.75">
      <c r="A63" s="4">
        <v>80</v>
      </c>
      <c r="B63" s="26">
        <v>79</v>
      </c>
      <c r="C63" s="144">
        <v>58</v>
      </c>
      <c r="D63" s="84" t="s">
        <v>10</v>
      </c>
      <c r="E63" s="73" t="s">
        <v>25</v>
      </c>
      <c r="F63" s="73" t="s">
        <v>65</v>
      </c>
      <c r="G63" s="74">
        <v>1980</v>
      </c>
      <c r="H63" s="68">
        <f>'[1]тариф начисл. 2018 с янв'!$I$68</f>
        <v>1909.8</v>
      </c>
      <c r="I63" s="75" t="s">
        <v>40</v>
      </c>
      <c r="J63" s="75">
        <v>23.27</v>
      </c>
      <c r="K63" s="142">
        <v>36269.459999999905</v>
      </c>
      <c r="L63" s="256">
        <f>'[5]УК+ООО'!$K$84</f>
        <v>408891.12</v>
      </c>
      <c r="M63" s="256">
        <f>'[5]УК+ООО'!$N$84</f>
        <v>388834.88</v>
      </c>
      <c r="N63" s="256">
        <v>0</v>
      </c>
      <c r="O63" s="258">
        <f t="shared" si="2"/>
        <v>56325.699999999895</v>
      </c>
      <c r="P63" s="86"/>
      <c r="Q63" s="254">
        <f>948.39+1021.94</f>
        <v>1970.33</v>
      </c>
      <c r="R63" s="254">
        <f>3251.61+82895.13+3065.82</f>
        <v>89212.56000000001</v>
      </c>
      <c r="S63" s="254">
        <f>4606.45+82895.13+3832.28</f>
        <v>91333.86</v>
      </c>
      <c r="T63" s="254">
        <f t="shared" si="9"/>
        <v>-150.9699999999866</v>
      </c>
      <c r="U63" s="15">
        <f>'[2]тариф начисл. 2019 с янв'!$P$69</f>
        <v>1604.23</v>
      </c>
      <c r="V63" s="15">
        <f>'[2]тариф начисл. 2019 с янв'!$O$69+'[2]авг'!$F$69</f>
        <v>56889.98</v>
      </c>
      <c r="W63" s="15">
        <f>'[2]тариф начисл. 2019 с янв'!$N$69</f>
        <v>140026.54</v>
      </c>
      <c r="X63" s="15">
        <f>'[2]тариф начисл. 2019 с янв'!$BC$69</f>
        <v>55460.59</v>
      </c>
      <c r="Y63" s="15"/>
      <c r="Z63" s="15">
        <f>'[2]тариф начисл. 2019 с янв'!$AC$69</f>
        <v>229.18</v>
      </c>
      <c r="AA63" s="15">
        <f>'[2]тариф начисл. 2019 с янв'!$AD$69+'[2]тариф начисл. 2019 с янв'!$AE$69</f>
        <v>21542.54</v>
      </c>
      <c r="AB63" s="15">
        <f>'[2]тариф начисл. 2019 с янв'!$AA$69</f>
        <v>916.7</v>
      </c>
      <c r="AC63" s="15">
        <f>'[3]тариф начисл. 2020 с янв'!$AB$69+'[3]год'!$F$69</f>
        <v>1540.42</v>
      </c>
      <c r="AD63" s="15">
        <f>'[2]тариф начисл. 2019 с янв'!$Z$69</f>
        <v>0</v>
      </c>
      <c r="AE63" s="15">
        <f>'[2]тариф начисл. 2019 с янв'!$V$69</f>
        <v>74253.02</v>
      </c>
      <c r="AF63" s="15"/>
      <c r="AG63" s="15">
        <f>'[2]тариф начисл. 2019 с янв'!$BA$69</f>
        <v>33001.34</v>
      </c>
      <c r="AH63" s="16">
        <f t="shared" si="10"/>
        <v>385464.54000000004</v>
      </c>
      <c r="AI63" s="261">
        <f>'[2]тариф начисл. 2019 с янв'!$AJ$69</f>
        <v>71273.74</v>
      </c>
      <c r="AJ63" s="261">
        <f>'[2]тариф начисл. 2019 с янв'!$AO$69</f>
        <v>37355.69</v>
      </c>
      <c r="AK63" s="261">
        <f>'[2]тариф начисл. 2019 с янв'!$AS$69</f>
        <v>41022.5</v>
      </c>
      <c r="AL63" s="261">
        <f>'[2]тариф начисл. 2019 с янв'!$AW$69</f>
        <v>19479.96</v>
      </c>
      <c r="AM63" s="261">
        <f>'[2]тариф начисл. 2019 с янв'!$AZ$69</f>
        <v>33459.7</v>
      </c>
      <c r="AN63" s="16">
        <f t="shared" si="4"/>
        <v>202591.58999999997</v>
      </c>
      <c r="AO63" s="16">
        <f t="shared" si="8"/>
        <v>588056.13</v>
      </c>
      <c r="AP63" s="250">
        <f t="shared" si="5"/>
        <v>107887.39</v>
      </c>
      <c r="AQ63" s="22">
        <f t="shared" si="6"/>
        <v>480168.74</v>
      </c>
    </row>
    <row r="64" spans="1:43" ht="12.75">
      <c r="A64" s="4">
        <v>91</v>
      </c>
      <c r="B64" s="26">
        <v>88</v>
      </c>
      <c r="C64" s="144">
        <v>59</v>
      </c>
      <c r="D64" s="84" t="s">
        <v>15</v>
      </c>
      <c r="E64" s="73" t="s">
        <v>26</v>
      </c>
      <c r="F64" s="73" t="s">
        <v>65</v>
      </c>
      <c r="G64" s="74">
        <v>1979</v>
      </c>
      <c r="H64" s="68">
        <f>'[1]тариф начисл. 2018 с янв'!$I$69</f>
        <v>2677.3</v>
      </c>
      <c r="I64" s="75" t="s">
        <v>40</v>
      </c>
      <c r="J64" s="75">
        <v>21.73</v>
      </c>
      <c r="K64" s="142">
        <v>234151.71999999997</v>
      </c>
      <c r="L64" s="256">
        <f>'[5]УК+ООО'!$K$86</f>
        <v>698132.64</v>
      </c>
      <c r="M64" s="256">
        <f>'[5]УК+ООО'!$N$86</f>
        <v>669050.6</v>
      </c>
      <c r="N64" s="256">
        <v>0</v>
      </c>
      <c r="O64" s="258">
        <f t="shared" si="2"/>
        <v>263233.76</v>
      </c>
      <c r="P64" s="86"/>
      <c r="Q64" s="254">
        <f>948.39+1553.48</f>
        <v>2501.87</v>
      </c>
      <c r="R64" s="254">
        <f>3251.61+4660.43</f>
        <v>7912.040000000001</v>
      </c>
      <c r="S64" s="254">
        <f>4606.45+5825.54</f>
        <v>10431.99</v>
      </c>
      <c r="T64" s="254">
        <f t="shared" si="9"/>
        <v>-18.079999999999927</v>
      </c>
      <c r="U64" s="255">
        <f>'[2]тариф начисл. 2019 с янв'!$P$70</f>
        <v>2248.93</v>
      </c>
      <c r="V64" s="15">
        <f>'[2]тариф начисл. 2019 с янв'!$O$70+'[2]авг'!$F$70</f>
        <v>37046.81</v>
      </c>
      <c r="W64" s="15">
        <f>'[2]тариф начисл. 2019 с янв'!$N$70</f>
        <v>196299.64</v>
      </c>
      <c r="X64" s="15"/>
      <c r="Y64" s="15"/>
      <c r="Z64" s="15">
        <f>'[2]тариф начисл. 2019 с янв'!$AC$70</f>
        <v>321.28</v>
      </c>
      <c r="AA64" s="15">
        <f>'[2]тариф начисл. 2019 с янв'!$AD$70+'[2]тариф начисл. 2019 с янв'!$AE$70</f>
        <v>30199.94</v>
      </c>
      <c r="AB64" s="15">
        <f>'[2]тариф начисл. 2019 с янв'!$AA$70</f>
        <v>1285.1</v>
      </c>
      <c r="AC64" s="15">
        <f>'[2]тариф начисл. 2019 с янв'!$AB$70+'[3]год'!$F$70</f>
        <v>3115.25</v>
      </c>
      <c r="AD64" s="15">
        <f>'[2]тариф начисл. 2019 с янв'!$Z$70</f>
        <v>28272.29</v>
      </c>
      <c r="AE64" s="15">
        <f>'[2]тариф начисл. 2019 с янв'!$V$70</f>
        <v>104093.42</v>
      </c>
      <c r="AF64" s="15"/>
      <c r="AG64" s="15">
        <f>'[2]тариф начисл. 2019 с янв'!$BA$70</f>
        <v>46263.74</v>
      </c>
      <c r="AH64" s="16">
        <f t="shared" si="10"/>
        <v>449146.3999999999</v>
      </c>
      <c r="AI64" s="261">
        <f>'[2]тариф начисл. 2019 с янв'!$AJ$70</f>
        <v>99916.84</v>
      </c>
      <c r="AJ64" s="261">
        <f>'[2]тариф начисл. 2019 с янв'!$AO$70</f>
        <v>52367.99</v>
      </c>
      <c r="AK64" s="261">
        <f>'[2]тариф начисл. 2019 с янв'!$AS$70</f>
        <v>57508.4</v>
      </c>
      <c r="AL64" s="261">
        <f>'[2]тариф начисл. 2019 с янв'!$AW$70</f>
        <v>27308.46</v>
      </c>
      <c r="AM64" s="261">
        <f>'[2]тариф начисл. 2019 с янв'!$AZ$70</f>
        <v>46906.3</v>
      </c>
      <c r="AN64" s="16">
        <f t="shared" si="4"/>
        <v>284007.99</v>
      </c>
      <c r="AO64" s="16">
        <f t="shared" si="8"/>
        <v>733154.3899999999</v>
      </c>
      <c r="AP64" s="250">
        <f t="shared" si="5"/>
        <v>53671.79999999992</v>
      </c>
      <c r="AQ64" s="22">
        <f t="shared" si="6"/>
        <v>679482.59</v>
      </c>
    </row>
    <row r="65" spans="1:43" ht="12.75">
      <c r="A65" s="4">
        <v>92</v>
      </c>
      <c r="B65" s="21">
        <v>89</v>
      </c>
      <c r="C65" s="144">
        <v>60</v>
      </c>
      <c r="D65" s="84" t="s">
        <v>15</v>
      </c>
      <c r="E65" s="73" t="s">
        <v>27</v>
      </c>
      <c r="F65" s="73" t="s">
        <v>65</v>
      </c>
      <c r="G65" s="74">
        <v>1979</v>
      </c>
      <c r="H65" s="68">
        <f>'[2]тариф начисл. 2019 с янв'!$I$71</f>
        <v>2687.5</v>
      </c>
      <c r="I65" s="75" t="s">
        <v>40</v>
      </c>
      <c r="J65" s="75">
        <v>21.73</v>
      </c>
      <c r="K65" s="142">
        <v>225335.1699999997</v>
      </c>
      <c r="L65" s="256">
        <f>'[5]УК+ООО'!$K$87</f>
        <v>700740.84</v>
      </c>
      <c r="M65" s="256">
        <f>'[5]УК+ООО'!$N$87</f>
        <v>751109.31</v>
      </c>
      <c r="N65" s="256">
        <v>0</v>
      </c>
      <c r="O65" s="258">
        <f t="shared" si="2"/>
        <v>174966.6999999996</v>
      </c>
      <c r="P65" s="86"/>
      <c r="Q65" s="254">
        <f>948.39+1553.48</f>
        <v>2501.87</v>
      </c>
      <c r="R65" s="254">
        <f>3251.61+4660.43</f>
        <v>7912.040000000001</v>
      </c>
      <c r="S65" s="254">
        <f>4606.45+5825.54</f>
        <v>10431.99</v>
      </c>
      <c r="T65" s="254">
        <f t="shared" si="9"/>
        <v>-18.079999999999927</v>
      </c>
      <c r="U65" s="15">
        <f>'[2]тариф начисл. 2019 с янв'!$P$71</f>
        <v>2257.5</v>
      </c>
      <c r="V65" s="15">
        <f>'[2]тариф начисл. 2019 с янв'!$O$71+'[2]авг'!$F$71</f>
        <v>86383.14</v>
      </c>
      <c r="W65" s="15">
        <f>'[2]тариф начисл. 2019 с янв'!$N$71</f>
        <v>197047.5</v>
      </c>
      <c r="X65" s="15"/>
      <c r="Y65" s="15"/>
      <c r="Z65" s="15">
        <f>'[2]тариф начисл. 2019 с янв'!$AC$71</f>
        <v>322.5</v>
      </c>
      <c r="AA65" s="15">
        <f>'[2]тариф начисл. 2019 с янв'!$AD$71+'[2]тариф начисл. 2019 с янв'!$AE$71</f>
        <v>30315</v>
      </c>
      <c r="AB65" s="15">
        <f>'[2]тариф начисл. 2019 с янв'!$AA$71</f>
        <v>1290</v>
      </c>
      <c r="AC65" s="15">
        <f>'[2]тариф начисл. 2019 с янв'!$AB$71+'[3]год'!$F$71</f>
        <v>1539.33</v>
      </c>
      <c r="AD65" s="15">
        <f>'[2]тариф начисл. 2019 с янв'!$Z$71</f>
        <v>28380</v>
      </c>
      <c r="AE65" s="15">
        <f>'[2]тариф начисл. 2019 с янв'!$V$71</f>
        <v>104490</v>
      </c>
      <c r="AF65" s="15"/>
      <c r="AG65" s="15">
        <f>'[2]тариф начисл. 2019 с янв'!$BA$71</f>
        <v>46440</v>
      </c>
      <c r="AH65" s="16">
        <f t="shared" si="10"/>
        <v>498464.97000000003</v>
      </c>
      <c r="AI65" s="261">
        <f>'[2]тариф начисл. 2019 с янв'!$AJ$71</f>
        <v>100297.5</v>
      </c>
      <c r="AJ65" s="261">
        <f>'[2]тариф начисл. 2019 с янв'!$AO$71</f>
        <v>52567.5</v>
      </c>
      <c r="AK65" s="261">
        <f>'[2]тариф начисл. 2019 с янв'!$AS$71</f>
        <v>57727.5</v>
      </c>
      <c r="AL65" s="261">
        <f>'[2]тариф начисл. 2019 с янв'!$AW$71</f>
        <v>27412.5</v>
      </c>
      <c r="AM65" s="261">
        <f>'[2]тариф начисл. 2019 с янв'!$AZ$71</f>
        <v>47085</v>
      </c>
      <c r="AN65" s="16">
        <f t="shared" si="4"/>
        <v>285090</v>
      </c>
      <c r="AO65" s="16">
        <f t="shared" si="8"/>
        <v>783554.97</v>
      </c>
      <c r="AP65" s="250">
        <f t="shared" si="5"/>
        <v>22013.66999999992</v>
      </c>
      <c r="AQ65" s="22">
        <f t="shared" si="6"/>
        <v>761541.3</v>
      </c>
    </row>
    <row r="66" spans="1:43" ht="12.75">
      <c r="A66" s="4">
        <v>88</v>
      </c>
      <c r="B66" s="20">
        <v>85</v>
      </c>
      <c r="C66" s="144">
        <v>61</v>
      </c>
      <c r="D66" s="84" t="s">
        <v>10</v>
      </c>
      <c r="E66" s="73" t="s">
        <v>28</v>
      </c>
      <c r="F66" s="74" t="s">
        <v>32</v>
      </c>
      <c r="G66" s="73">
        <v>1961</v>
      </c>
      <c r="H66" s="68">
        <f>'[1]тариф начисл. 2018 с янв'!$I$71</f>
        <v>2004.7</v>
      </c>
      <c r="I66" s="75" t="s">
        <v>40</v>
      </c>
      <c r="J66" s="75">
        <v>20.88</v>
      </c>
      <c r="K66" s="142">
        <v>90158.08999999997</v>
      </c>
      <c r="L66" s="256">
        <f>'[5]УК+ООО'!$K$94</f>
        <v>501546</v>
      </c>
      <c r="M66" s="256">
        <f>'[5]УК+ООО'!$N$94</f>
        <v>477447.13</v>
      </c>
      <c r="N66" s="256">
        <v>0</v>
      </c>
      <c r="O66" s="258">
        <f t="shared" si="2"/>
        <v>114256.95999999996</v>
      </c>
      <c r="P66" s="86"/>
      <c r="Q66" s="254">
        <v>0</v>
      </c>
      <c r="R66" s="254">
        <v>3537.5</v>
      </c>
      <c r="S66" s="254">
        <v>3187.5</v>
      </c>
      <c r="T66" s="254">
        <f t="shared" si="9"/>
        <v>350</v>
      </c>
      <c r="U66" s="15">
        <f>'[2]тариф начисл. 2019 с янв'!$P$72</f>
        <v>1683.95</v>
      </c>
      <c r="V66" s="15">
        <f>'[2]тариф начисл. 2019 с янв'!$O$72+'[2]авг'!$F$72</f>
        <v>54077.33</v>
      </c>
      <c r="W66" s="15">
        <f>'[2]тариф начисл. 2019 с янв'!$N$72</f>
        <v>146984.6</v>
      </c>
      <c r="X66" s="15"/>
      <c r="Y66" s="15"/>
      <c r="Z66" s="15">
        <f>'[2]тариф начисл. 2019 с янв'!$AC$72</f>
        <v>240.56</v>
      </c>
      <c r="AA66" s="15">
        <f>'[2]тариф начисл. 2019 с янв'!$AD$72+'[2]тариф начисл. 2019 с янв'!$AE$72</f>
        <v>22613.02</v>
      </c>
      <c r="AB66" s="15">
        <f>'[2]тариф начисл. 2019 с янв'!$AA$72</f>
        <v>962.26</v>
      </c>
      <c r="AC66" s="15">
        <f>'[2]тариф начисл. 2019 с янв'!$AB$72+'[3]год'!$F$72</f>
        <v>2303.71</v>
      </c>
      <c r="AD66" s="15">
        <f>'[2]тариф начисл. 2019 с янв'!$Z$72</f>
        <v>21169.63</v>
      </c>
      <c r="AE66" s="15">
        <f>'[2]тариф начисл. 2019 с янв'!$V$72</f>
        <v>77942.74</v>
      </c>
      <c r="AF66" s="15"/>
      <c r="AG66" s="15">
        <f>'[2]тариф начисл. 2019 с янв'!$BA$72</f>
        <v>34641.22</v>
      </c>
      <c r="AH66" s="16">
        <f t="shared" si="10"/>
        <v>362619.02</v>
      </c>
      <c r="AI66" s="261">
        <f>'[4]тариф начисл. 2021 с янв'!$AJ$71+'[4]год'!$R$71</f>
        <v>82615.4</v>
      </c>
      <c r="AJ66" s="261">
        <f>'[2]тариф начисл. 2019 с янв'!$AO$72</f>
        <v>39211.93</v>
      </c>
      <c r="AK66" s="261">
        <f>'[2]тариф начисл. 2019 с янв'!$AS$72</f>
        <v>22853.58</v>
      </c>
      <c r="AL66" s="261">
        <f>'[2]тариф начисл. 2019 с янв'!$AW$72</f>
        <v>20207.38</v>
      </c>
      <c r="AM66" s="261">
        <f>'[2]тариф начисл. 2019 с янв'!$AZ$72</f>
        <v>35122.34</v>
      </c>
      <c r="AN66" s="16">
        <f t="shared" si="4"/>
        <v>200010.62999999998</v>
      </c>
      <c r="AO66" s="16">
        <f t="shared" si="8"/>
        <v>562629.65</v>
      </c>
      <c r="AP66" s="250">
        <f t="shared" si="5"/>
        <v>81995.02000000002</v>
      </c>
      <c r="AQ66" s="22">
        <f t="shared" si="6"/>
        <v>480634.63</v>
      </c>
    </row>
    <row r="67" spans="1:43" ht="12.75">
      <c r="A67" s="4">
        <v>89</v>
      </c>
      <c r="B67" s="21">
        <v>86</v>
      </c>
      <c r="C67" s="144">
        <v>62</v>
      </c>
      <c r="D67" s="84" t="s">
        <v>11</v>
      </c>
      <c r="E67" s="73">
        <v>25</v>
      </c>
      <c r="F67" s="73" t="s">
        <v>65</v>
      </c>
      <c r="G67" s="74">
        <v>1975</v>
      </c>
      <c r="H67" s="68">
        <f>'[2]тариф начисл. 2019 с янв'!$I$73</f>
        <v>5334.9</v>
      </c>
      <c r="I67" s="75" t="s">
        <v>40</v>
      </c>
      <c r="J67" s="75">
        <v>20.88</v>
      </c>
      <c r="K67" s="142">
        <v>309171.97</v>
      </c>
      <c r="L67" s="256">
        <f>'[5]УК+ООО'!$K$88</f>
        <v>1333405.08</v>
      </c>
      <c r="M67" s="256">
        <f>'[5]УК+ООО'!$N$88</f>
        <v>1216815.59</v>
      </c>
      <c r="N67" s="256">
        <v>0</v>
      </c>
      <c r="O67" s="258">
        <f t="shared" si="2"/>
        <v>425761.45999999996</v>
      </c>
      <c r="P67" s="86"/>
      <c r="Q67" s="254">
        <f>948.39+2751.02</f>
        <v>3699.41</v>
      </c>
      <c r="R67" s="254">
        <f>27000.45+3251.61+8253.05</f>
        <v>38505.11</v>
      </c>
      <c r="S67" s="254">
        <f>27000.45+4606.45+10316.31</f>
        <v>41923.21</v>
      </c>
      <c r="T67" s="254">
        <f t="shared" si="9"/>
        <v>281.31000000000495</v>
      </c>
      <c r="U67" s="15">
        <f>'[2]тариф начисл. 2019 с янв'!$P$73</f>
        <v>4481.32</v>
      </c>
      <c r="V67" s="15">
        <f>'[2]тариф начисл. 2019 с янв'!$O$73+'[2]авг'!$F$73</f>
        <v>48525.020000000004</v>
      </c>
      <c r="W67" s="15">
        <f>'[2]тариф начисл. 2019 с янв'!$N$73</f>
        <v>391154.87</v>
      </c>
      <c r="X67" s="15"/>
      <c r="Y67" s="15"/>
      <c r="Z67" s="15">
        <f>'[2]тариф начисл. 2019 с янв'!$AC$73</f>
        <v>640.19</v>
      </c>
      <c r="AA67" s="15">
        <f>'[2]тариф начисл. 2019 с янв'!$AD$73+'[2]тариф начисл. 2019 с янв'!$AE$73</f>
        <v>60177.68</v>
      </c>
      <c r="AB67" s="15">
        <f>'[2]тариф начисл. 2019 с янв'!$AA$73</f>
        <v>2560.75</v>
      </c>
      <c r="AC67" s="15">
        <f>'[3]тариф начисл. 2020 с янв'!$AB$73+'[3]год'!$F$73</f>
        <v>2774.92</v>
      </c>
      <c r="AD67" s="15">
        <f>'[2]тариф начисл. 2019 с янв'!$Z$73</f>
        <v>56336.54</v>
      </c>
      <c r="AE67" s="15">
        <f>'[2]тариф начисл. 2019 с янв'!$V$73</f>
        <v>207420.91</v>
      </c>
      <c r="AF67" s="15"/>
      <c r="AG67" s="15">
        <f>'[2]тариф начисл. 2019 с янв'!$BA$73</f>
        <v>92187.07</v>
      </c>
      <c r="AH67" s="16">
        <f t="shared" si="10"/>
        <v>866259.27</v>
      </c>
      <c r="AI67" s="261">
        <f>'[3]тариф начисл. 2020 с янв'!$AJ$73</f>
        <v>199098.47</v>
      </c>
      <c r="AJ67" s="261">
        <f>'[2]тариф начисл. 2019 с янв'!$AO$73</f>
        <v>104350.64</v>
      </c>
      <c r="AK67" s="261">
        <f>'[2]тариф начисл. 2019 с янв'!$AS$73</f>
        <v>60817.86</v>
      </c>
      <c r="AL67" s="261">
        <f>'[2]тариф начисл. 2019 с янв'!$AW$73</f>
        <v>53775.79</v>
      </c>
      <c r="AM67" s="261">
        <f>'[2]тариф начисл. 2019 с янв'!$AZ$73</f>
        <v>93467.45</v>
      </c>
      <c r="AN67" s="16">
        <f t="shared" si="4"/>
        <v>511510.20999999996</v>
      </c>
      <c r="AO67" s="16">
        <f t="shared" si="8"/>
        <v>1377769.48</v>
      </c>
      <c r="AP67" s="251">
        <f t="shared" si="5"/>
        <v>119030.6799999999</v>
      </c>
      <c r="AQ67" s="22">
        <f t="shared" si="6"/>
        <v>1258738.8</v>
      </c>
    </row>
    <row r="68" spans="1:43" ht="12.75">
      <c r="A68" s="4">
        <v>90</v>
      </c>
      <c r="B68" s="25">
        <v>87</v>
      </c>
      <c r="C68" s="144">
        <v>63</v>
      </c>
      <c r="D68" s="84" t="s">
        <v>13</v>
      </c>
      <c r="E68" s="74" t="s">
        <v>29</v>
      </c>
      <c r="F68" s="74" t="s">
        <v>67</v>
      </c>
      <c r="G68" s="74">
        <v>1984</v>
      </c>
      <c r="H68" s="68">
        <f>'[1]тариф начисл. 2018 с янв'!$I$73</f>
        <v>2213.5</v>
      </c>
      <c r="I68" s="75" t="s">
        <v>40</v>
      </c>
      <c r="J68" s="75">
        <v>20.88</v>
      </c>
      <c r="K68" s="142">
        <v>99804.92999999979</v>
      </c>
      <c r="L68" s="256">
        <f>'[5]УК+ООО'!$K$92</f>
        <v>555617.16</v>
      </c>
      <c r="M68" s="256">
        <f>'[5]УК+ООО'!$N$92</f>
        <v>570406.92</v>
      </c>
      <c r="N68" s="256">
        <v>0</v>
      </c>
      <c r="O68" s="258">
        <f t="shared" si="2"/>
        <v>85015.16999999981</v>
      </c>
      <c r="P68" s="86"/>
      <c r="Q68" s="254">
        <v>0</v>
      </c>
      <c r="R68" s="254">
        <v>3537.5</v>
      </c>
      <c r="S68" s="254">
        <v>3187.5</v>
      </c>
      <c r="T68" s="254">
        <f t="shared" si="9"/>
        <v>350</v>
      </c>
      <c r="U68" s="15">
        <f>'[2]тариф начисл. 2019 с янв'!$P$74</f>
        <v>1862.28</v>
      </c>
      <c r="V68" s="15">
        <f>'[2]тариф начисл. 2019 с янв'!$O$74+'[2]авг'!$F$74</f>
        <v>59784.24</v>
      </c>
      <c r="W68" s="15">
        <f>'[2]тариф начисл. 2019 с янв'!$N$74</f>
        <v>162550.44</v>
      </c>
      <c r="X68" s="15"/>
      <c r="Y68" s="15"/>
      <c r="Z68" s="15">
        <f>'[2]тариф начисл. 2019 с янв'!$AC$74</f>
        <v>266.04</v>
      </c>
      <c r="AA68" s="15">
        <f>'[2]тариф начисл. 2019 с янв'!$AD$74+'[2]тариф начисл. 2019 с янв'!$AE$74</f>
        <v>25007.76</v>
      </c>
      <c r="AB68" s="15">
        <f>'[2]тариф начисл. 2019 с янв'!$AA$74</f>
        <v>1064.16</v>
      </c>
      <c r="AC68" s="15">
        <f>'[2]тариф начисл. 2019 с янв'!$AB$74+'[3]год'!$F$74</f>
        <v>1329.08</v>
      </c>
      <c r="AD68" s="15">
        <f>'[2]тариф начисл. 2019 с янв'!$Z$74</f>
        <v>23411.52</v>
      </c>
      <c r="AE68" s="15">
        <f>'[2]тариф начисл. 2019 с янв'!$V$74</f>
        <v>86196.96</v>
      </c>
      <c r="AF68" s="15"/>
      <c r="AG68" s="15">
        <f>'[2]тариф начисл. 2019 с янв'!$BA$74</f>
        <v>38309.76</v>
      </c>
      <c r="AH68" s="16">
        <f t="shared" si="10"/>
        <v>399782.24000000005</v>
      </c>
      <c r="AI68" s="261">
        <f>'[2]тариф начисл. 2019 с янв'!$AJ$74</f>
        <v>82738.44</v>
      </c>
      <c r="AJ68" s="261">
        <f>'[2]тариф начисл. 2019 с янв'!$AO$74</f>
        <v>43364.52</v>
      </c>
      <c r="AK68" s="261">
        <f>'[2]тариф начисл. 2019 с янв'!$AS$74</f>
        <v>25273.8</v>
      </c>
      <c r="AL68" s="261">
        <f>'[2]тариф начисл. 2019 с янв'!$AW$74</f>
        <v>22347.36</v>
      </c>
      <c r="AM68" s="261">
        <f>'[2]тариф начисл. 2019 с янв'!$AZ$74</f>
        <v>38841.84</v>
      </c>
      <c r="AN68" s="16">
        <f t="shared" si="4"/>
        <v>212565.96</v>
      </c>
      <c r="AO68" s="16">
        <f t="shared" si="8"/>
        <v>612348.2000000001</v>
      </c>
      <c r="AP68" s="250">
        <f t="shared" si="5"/>
        <v>38753.78000000003</v>
      </c>
      <c r="AQ68" s="22">
        <f t="shared" si="6"/>
        <v>573594.42</v>
      </c>
    </row>
    <row r="69" spans="1:43" ht="12.75">
      <c r="A69" s="4"/>
      <c r="B69" s="25"/>
      <c r="C69" s="144">
        <v>64</v>
      </c>
      <c r="D69" s="84" t="s">
        <v>109</v>
      </c>
      <c r="E69" s="74">
        <v>4</v>
      </c>
      <c r="F69" s="110" t="s">
        <v>107</v>
      </c>
      <c r="G69" s="74">
        <v>1971</v>
      </c>
      <c r="H69" s="68">
        <f>'[1]тариф начисл. 2018 с янв'!$I$75</f>
        <v>2719.9</v>
      </c>
      <c r="I69" s="75" t="s">
        <v>40</v>
      </c>
      <c r="J69" s="75">
        <v>21.73</v>
      </c>
      <c r="K69" s="142">
        <v>162733.92999999993</v>
      </c>
      <c r="L69" s="256">
        <f>'[5]УК+ООО'!$K$53</f>
        <v>685201.33</v>
      </c>
      <c r="M69" s="256">
        <f>'[5]УК+ООО'!$N$53</f>
        <v>662256.95</v>
      </c>
      <c r="N69" s="256">
        <v>0</v>
      </c>
      <c r="O69" s="258">
        <f aca="true" t="shared" si="11" ref="O69:O84">K69+L69-M69+N69</f>
        <v>185678.30999999994</v>
      </c>
      <c r="P69" s="86"/>
      <c r="Q69" s="254">
        <v>0</v>
      </c>
      <c r="R69" s="254">
        <v>32281.68</v>
      </c>
      <c r="S69" s="254">
        <v>32281.68</v>
      </c>
      <c r="T69" s="254">
        <f t="shared" si="9"/>
        <v>0</v>
      </c>
      <c r="U69" s="15">
        <f>'[2]тариф начисл. 2019 с янв'!$P$76</f>
        <v>2284.72</v>
      </c>
      <c r="V69" s="15">
        <f>'[2]тариф начисл. 2019 с янв'!$O$76+'[2]авг'!$F$76</f>
        <v>52298.81</v>
      </c>
      <c r="W69" s="15">
        <f>'[2]тариф начисл. 2019 с янв'!$N$76</f>
        <v>199423.07</v>
      </c>
      <c r="X69" s="15"/>
      <c r="Y69" s="15"/>
      <c r="Z69" s="15">
        <f>'[2]тариф начисл. 2019 с янв'!$AC$76</f>
        <v>326.39</v>
      </c>
      <c r="AA69" s="15">
        <f>'[2]тариф начисл. 2019 с янв'!$AD$76+'[2]тариф начисл. 2019 с янв'!$AE$76</f>
        <v>30680.48</v>
      </c>
      <c r="AB69" s="15">
        <f>'[2]тариф начисл. 2019 с янв'!$AA$76</f>
        <v>1305.55</v>
      </c>
      <c r="AC69" s="15">
        <f>'[3]тариф начисл. 2020 с янв'!$AB$76+'[3]год'!$F$76</f>
        <v>3000.02</v>
      </c>
      <c r="AD69" s="15">
        <f>'[2]тариф начисл. 2019 с янв'!$Z$76</f>
        <v>28722.14</v>
      </c>
      <c r="AE69" s="15">
        <f>'[2]тариф начисл. 2019 с янв'!$V$76</f>
        <v>105749.71</v>
      </c>
      <c r="AF69" s="15"/>
      <c r="AG69" s="15">
        <f>'[2]тариф начисл. 2019 с янв'!$BA$76</f>
        <v>46999.87</v>
      </c>
      <c r="AH69" s="16">
        <f t="shared" si="10"/>
        <v>470790.76000000007</v>
      </c>
      <c r="AI69" s="261">
        <f>'[4]тариф начисл. 2021 с янв'!$AJ$75</f>
        <v>101506.67</v>
      </c>
      <c r="AJ69" s="261">
        <f>'[2]тариф начисл. 2019 с янв'!$AO$76</f>
        <v>53201.24</v>
      </c>
      <c r="AK69" s="261">
        <f>'[2]тариф начисл. 2019 с янв'!$AS$76</f>
        <v>58423.45</v>
      </c>
      <c r="AL69" s="261">
        <f>'[2]тариф начисл. 2019 с янв'!$AW$76</f>
        <v>27742.98</v>
      </c>
      <c r="AM69" s="261">
        <f>'[2]тариф начисл. 2019 с янв'!$AZ$76</f>
        <v>47652.65</v>
      </c>
      <c r="AN69" s="16">
        <f aca="true" t="shared" si="12" ref="AN69:AN84">SUM(AI69:AM69)</f>
        <v>288526.99</v>
      </c>
      <c r="AO69" s="16">
        <f t="shared" si="8"/>
        <v>759317.75</v>
      </c>
      <c r="AP69" s="250">
        <f aca="true" t="shared" si="13" ref="AP69:AP84">AO69-M69-S69</f>
        <v>64779.120000000046</v>
      </c>
      <c r="AQ69" s="22">
        <f aca="true" t="shared" si="14" ref="AQ69:AQ84">M69+S69</f>
        <v>694538.63</v>
      </c>
    </row>
    <row r="70" spans="1:43" ht="12.75">
      <c r="A70" s="4"/>
      <c r="B70" s="25"/>
      <c r="C70" s="144">
        <v>65</v>
      </c>
      <c r="D70" s="84" t="s">
        <v>116</v>
      </c>
      <c r="E70" s="138" t="s">
        <v>117</v>
      </c>
      <c r="F70" s="110" t="s">
        <v>121</v>
      </c>
      <c r="G70" s="74">
        <v>2014</v>
      </c>
      <c r="H70" s="68">
        <f>'[1]тариф начисл. 2018 с янв'!$I$76</f>
        <v>3729.5</v>
      </c>
      <c r="I70" s="139" t="s">
        <v>40</v>
      </c>
      <c r="J70" s="75">
        <v>25.92</v>
      </c>
      <c r="K70" s="142">
        <v>215588.8899999999</v>
      </c>
      <c r="L70" s="256">
        <f>'[5]УК+ООО'!$K$51</f>
        <v>1160023.68</v>
      </c>
      <c r="M70" s="256">
        <f>'[5]УК+ООО'!$N$51</f>
        <v>1126874.18</v>
      </c>
      <c r="N70" s="256">
        <v>0</v>
      </c>
      <c r="O70" s="258">
        <f t="shared" si="11"/>
        <v>248738.3899999999</v>
      </c>
      <c r="P70" s="86"/>
      <c r="Q70" s="254">
        <v>0</v>
      </c>
      <c r="R70" s="254">
        <v>0</v>
      </c>
      <c r="S70" s="254">
        <v>0</v>
      </c>
      <c r="T70" s="254">
        <f t="shared" si="9"/>
        <v>0</v>
      </c>
      <c r="U70" s="15">
        <f>'[2]тариф начисл. 2019 с янв'!$P$77</f>
        <v>3132.78</v>
      </c>
      <c r="V70" s="15">
        <f>'[2]тариф начисл. 2019 с янв'!$O$77+'[2]авг'!$F$77</f>
        <v>6666.700000000001</v>
      </c>
      <c r="W70" s="15">
        <f>'[2]тариф начисл. 2019 с янв'!$N$77</f>
        <v>186624.18</v>
      </c>
      <c r="X70" s="15"/>
      <c r="Y70" s="15">
        <f>'[4]тариф начисл. 2021 с янв'!$BE$76+'[4]год'!$Z$76</f>
        <v>341096.02</v>
      </c>
      <c r="Z70" s="15">
        <f>'[2]тариф начисл. 2019 с янв'!$AC$77</f>
        <v>447.54</v>
      </c>
      <c r="AA70" s="15">
        <f>'[2]тариф начисл. 2019 с янв'!$AD$77+'[2]тариф начисл. 2019 с янв'!$AE$77</f>
        <v>42068.76</v>
      </c>
      <c r="AB70" s="15">
        <f>'[2]тариф начисл. 2019 с янв'!$AA$77</f>
        <v>1790.16</v>
      </c>
      <c r="AC70" s="15">
        <f>'[2]тариф начисл. 2019 с янв'!$AB$77+'[3]год'!$F$77</f>
        <v>1342.62</v>
      </c>
      <c r="AD70" s="15">
        <f>'[2]тариф начисл. 2019 с янв'!$Z$77</f>
        <v>39383.52</v>
      </c>
      <c r="AE70" s="15">
        <f>'[2]тариф начисл. 2019 с янв'!$V$77</f>
        <v>145002.96</v>
      </c>
      <c r="AF70" s="15"/>
      <c r="AG70" s="15">
        <f>'[2]тариф начисл. 2019 с янв'!$BA$77</f>
        <v>64445.76</v>
      </c>
      <c r="AH70" s="16">
        <f t="shared" si="10"/>
        <v>832001.0000000001</v>
      </c>
      <c r="AI70" s="261">
        <f>'[4]тариф начисл. 2021 с янв'!$AJ$76</f>
        <v>94430.94</v>
      </c>
      <c r="AJ70" s="261">
        <f>'[2]тариф начисл. 2019 с янв'!$AO$77</f>
        <v>72949.02</v>
      </c>
      <c r="AK70" s="261">
        <f>'[2]тариф начисл. 2019 с янв'!$AS$77</f>
        <v>80109.66</v>
      </c>
      <c r="AL70" s="261">
        <f>'[2]тариф начисл. 2019 с янв'!$AW$77</f>
        <v>38040.9</v>
      </c>
      <c r="AM70" s="261">
        <f>'[3]тариф начисл. 2020 с янв'!$AZ$77</f>
        <v>65340.84</v>
      </c>
      <c r="AN70" s="16">
        <f t="shared" si="12"/>
        <v>350871.36</v>
      </c>
      <c r="AO70" s="16">
        <f t="shared" si="8"/>
        <v>1182872.36</v>
      </c>
      <c r="AP70" s="250">
        <f t="shared" si="13"/>
        <v>55998.18000000017</v>
      </c>
      <c r="AQ70" s="22">
        <f t="shared" si="14"/>
        <v>1126874.18</v>
      </c>
    </row>
    <row r="71" spans="1:43" ht="12.75">
      <c r="A71" s="4"/>
      <c r="B71" s="25"/>
      <c r="C71" s="144">
        <v>66</v>
      </c>
      <c r="D71" s="84" t="s">
        <v>113</v>
      </c>
      <c r="E71" s="129" t="s">
        <v>112</v>
      </c>
      <c r="F71" s="110" t="s">
        <v>121</v>
      </c>
      <c r="G71" s="74">
        <v>2015</v>
      </c>
      <c r="H71" s="68">
        <f>'[2]тариф начисл. 2019 с янв'!$I$78</f>
        <v>4752.5</v>
      </c>
      <c r="I71" s="75" t="s">
        <v>40</v>
      </c>
      <c r="J71" s="75">
        <v>25.92</v>
      </c>
      <c r="K71" s="142">
        <v>411864.3799999999</v>
      </c>
      <c r="L71" s="256">
        <f>'[5]УК+ООО'!$K$52</f>
        <v>1321359.48</v>
      </c>
      <c r="M71" s="256">
        <f>'[5]УК+ООО'!$N$52</f>
        <v>1343033.93</v>
      </c>
      <c r="N71" s="256">
        <v>0</v>
      </c>
      <c r="O71" s="258">
        <f t="shared" si="11"/>
        <v>390189.92999999993</v>
      </c>
      <c r="P71" s="86"/>
      <c r="Q71" s="254">
        <f>1419.73-135.03+19883.93+0+0+3822.04</f>
        <v>24990.670000000002</v>
      </c>
      <c r="R71" s="254">
        <v>196545.29</v>
      </c>
      <c r="S71" s="254">
        <v>160450.93</v>
      </c>
      <c r="T71" s="254">
        <f t="shared" si="9"/>
        <v>61085.03000000003</v>
      </c>
      <c r="U71" s="15">
        <f>'[2]тариф начисл. 2019 с янв'!$P$78</f>
        <v>3992.1</v>
      </c>
      <c r="V71" s="15">
        <f>'[2]тариф начисл. 2019 с янв'!$O$78+'[2]авг'!$F$78</f>
        <v>8262.58</v>
      </c>
      <c r="W71" s="15">
        <f>'[2]тариф начисл. 2019 с янв'!$N$78</f>
        <v>237815.1</v>
      </c>
      <c r="X71" s="15"/>
      <c r="Y71" s="15">
        <f>'[4]тариф начисл. 2021 с янв'!$BE$77+'[4]год'!$Z$77</f>
        <v>428623.9</v>
      </c>
      <c r="Z71" s="15">
        <f>'[2]тариф начисл. 2019 с янв'!$AC$78</f>
        <v>570.3</v>
      </c>
      <c r="AA71" s="15">
        <f>'[2]тариф начисл. 2019 с янв'!$AD$78+'[2]тариф начисл. 2019 с янв'!$AE$78</f>
        <v>53608.2</v>
      </c>
      <c r="AB71" s="15">
        <f>'[2]тариф начисл. 2019 с янв'!$AA$78</f>
        <v>2281.2</v>
      </c>
      <c r="AC71" s="15">
        <f>'[2]тариф начисл. 2019 с янв'!$AB$78</f>
        <v>1710.9</v>
      </c>
      <c r="AD71" s="15">
        <f>'[2]тариф начисл. 2019 с янв'!$Z$78</f>
        <v>50186.4</v>
      </c>
      <c r="AE71" s="15">
        <f>'[2]тариф начисл. 2019 с янв'!$V$78</f>
        <v>184777.2</v>
      </c>
      <c r="AF71" s="15"/>
      <c r="AG71" s="15">
        <f>'[2]тариф начисл. 2019 с янв'!$BA$78</f>
        <v>82123.2</v>
      </c>
      <c r="AH71" s="16">
        <f t="shared" si="10"/>
        <v>1053951.08</v>
      </c>
      <c r="AI71" s="261">
        <f>'[4]тариф начисл. 2021 с янв'!$AJ$77</f>
        <v>120333.3</v>
      </c>
      <c r="AJ71" s="261">
        <f>'[2]тариф начисл. 2019 с янв'!$AO$78</f>
        <v>92958.9</v>
      </c>
      <c r="AK71" s="261">
        <f>'[2]тариф начисл. 2019 с янв'!$AS$78</f>
        <v>102083.7</v>
      </c>
      <c r="AL71" s="261">
        <f>'[2]тариф начисл. 2019 с янв'!$AW$78+10000</f>
        <v>58475.5</v>
      </c>
      <c r="AM71" s="261">
        <f>'[3]тариф начисл. 2020 с янв'!$AZ$78</f>
        <v>83263.8</v>
      </c>
      <c r="AN71" s="16">
        <f t="shared" si="12"/>
        <v>457115.2</v>
      </c>
      <c r="AO71" s="16">
        <f t="shared" si="8"/>
        <v>1511066.28</v>
      </c>
      <c r="AP71" s="252">
        <f t="shared" si="13"/>
        <v>7581.4200000001</v>
      </c>
      <c r="AQ71" s="22">
        <f t="shared" si="14"/>
        <v>1503484.8599999999</v>
      </c>
    </row>
    <row r="72" spans="1:43" ht="12.75">
      <c r="A72" s="4"/>
      <c r="B72" s="25"/>
      <c r="C72" s="144">
        <v>67</v>
      </c>
      <c r="D72" s="84" t="s">
        <v>118</v>
      </c>
      <c r="E72" s="129" t="s">
        <v>119</v>
      </c>
      <c r="F72" s="110" t="s">
        <v>121</v>
      </c>
      <c r="G72" s="74">
        <v>2016</v>
      </c>
      <c r="H72" s="68">
        <f>'[2]тариф начисл. 2019 с янв'!$I$79</f>
        <v>3924.1</v>
      </c>
      <c r="I72" s="139" t="s">
        <v>40</v>
      </c>
      <c r="J72" s="75">
        <v>25.92</v>
      </c>
      <c r="K72" s="142">
        <v>371517.5099999998</v>
      </c>
      <c r="L72" s="256">
        <f>'[5]УК+ООО'!$K$54</f>
        <v>1227970.47</v>
      </c>
      <c r="M72" s="256">
        <f>'[5]УК+ООО'!$N$54</f>
        <v>1288374.99</v>
      </c>
      <c r="N72" s="256">
        <v>0</v>
      </c>
      <c r="O72" s="258">
        <f t="shared" si="11"/>
        <v>311112.98999999976</v>
      </c>
      <c r="P72" s="86"/>
      <c r="Q72" s="254">
        <v>0</v>
      </c>
      <c r="R72" s="254">
        <v>0</v>
      </c>
      <c r="S72" s="254">
        <v>0</v>
      </c>
      <c r="T72" s="254">
        <f t="shared" si="9"/>
        <v>0</v>
      </c>
      <c r="U72" s="15">
        <f>'[2]тариф начисл. 2019 с янв'!$P$79</f>
        <v>3296.24</v>
      </c>
      <c r="V72" s="15">
        <f>'[2]тариф начисл. 2019 с янв'!$O$79+'[2]авг'!$F$79</f>
        <v>13395.900000000001</v>
      </c>
      <c r="W72" s="15">
        <f>'[2]тариф начисл. 2019 с янв'!$N$79</f>
        <v>196361.96</v>
      </c>
      <c r="X72" s="15"/>
      <c r="Y72" s="15">
        <f>'[4]тариф начисл. 2021 с янв'!$BE$78+'[4]год'!$Z$78</f>
        <v>357746</v>
      </c>
      <c r="Z72" s="15">
        <f>'[2]тариф начисл. 2019 с янв'!$AC$79</f>
        <v>470.89</v>
      </c>
      <c r="AA72" s="15">
        <f>'[2]тариф начисл. 2019 с янв'!$AD$79+'[2]тариф начисл. 2019 с янв'!$AE$79</f>
        <v>44263.84</v>
      </c>
      <c r="AB72" s="15">
        <f>'[2]тариф начисл. 2019 с янв'!$AA$79</f>
        <v>1883.57</v>
      </c>
      <c r="AC72" s="15">
        <f>'[2]тариф начисл. 2019 с янв'!$AB$79</f>
        <v>1412.68</v>
      </c>
      <c r="AD72" s="15">
        <f>'[2]тариф начисл. 2019 с янв'!$Z$79</f>
        <v>41438.5</v>
      </c>
      <c r="AE72" s="15">
        <f>'[2]тариф начисл. 2019 с янв'!$V$79</f>
        <v>152569.01</v>
      </c>
      <c r="AF72" s="15"/>
      <c r="AG72" s="15">
        <f>'[2]тариф начисл. 2019 с янв'!$BA$79</f>
        <v>67808.45</v>
      </c>
      <c r="AH72" s="16">
        <f t="shared" si="10"/>
        <v>880647.0399999999</v>
      </c>
      <c r="AI72" s="261">
        <f>'[3]тариф начисл. 2020 с янв'!$AJ$79+3000</f>
        <v>102358.21</v>
      </c>
      <c r="AJ72" s="261">
        <f>'[2]тариф начисл. 2019 с янв'!$AO$79+10000</f>
        <v>86755.4</v>
      </c>
      <c r="AK72" s="261">
        <f>'[2]тариф начисл. 2019 с янв'!$AS$79+10000</f>
        <v>94289.67</v>
      </c>
      <c r="AL72" s="261">
        <f>'[2]тариф начисл. 2019 с янв'!$AW$79+20000</f>
        <v>60025.82</v>
      </c>
      <c r="AM72" s="261">
        <f>'[3]тариф начисл. 2020 с янв'!$AZ$79+3000</f>
        <v>71750.23</v>
      </c>
      <c r="AN72" s="16">
        <f t="shared" si="12"/>
        <v>415179.32999999996</v>
      </c>
      <c r="AO72" s="16">
        <f t="shared" si="8"/>
        <v>1295826.3699999999</v>
      </c>
      <c r="AP72" s="251">
        <f t="shared" si="13"/>
        <v>7451.379999999888</v>
      </c>
      <c r="AQ72" s="22">
        <f t="shared" si="14"/>
        <v>1288374.99</v>
      </c>
    </row>
    <row r="73" spans="1:43" ht="12.75">
      <c r="A73" s="4"/>
      <c r="B73" s="25"/>
      <c r="C73" s="144">
        <v>68</v>
      </c>
      <c r="D73" s="84" t="s">
        <v>118</v>
      </c>
      <c r="E73" s="129" t="s">
        <v>122</v>
      </c>
      <c r="F73" s="110" t="s">
        <v>121</v>
      </c>
      <c r="G73" s="74">
        <v>2017</v>
      </c>
      <c r="H73" s="68">
        <f>'[2]тариф начисл. 2019 с янв'!$I$80</f>
        <v>1926.3</v>
      </c>
      <c r="I73" s="139" t="s">
        <v>40</v>
      </c>
      <c r="J73" s="75">
        <v>25.92</v>
      </c>
      <c r="K73" s="142">
        <v>188939.39</v>
      </c>
      <c r="L73" s="256">
        <f>'[5]УК+ООО'!$K$55</f>
        <v>603417.48</v>
      </c>
      <c r="M73" s="256">
        <f>'[5]УК+ООО'!$N$55</f>
        <v>603472.95</v>
      </c>
      <c r="N73" s="256">
        <v>0</v>
      </c>
      <c r="O73" s="258">
        <f t="shared" si="11"/>
        <v>188883.92000000004</v>
      </c>
      <c r="P73" s="86"/>
      <c r="Q73" s="254">
        <v>0</v>
      </c>
      <c r="R73" s="254">
        <v>0</v>
      </c>
      <c r="S73" s="254">
        <v>0</v>
      </c>
      <c r="T73" s="254">
        <f t="shared" si="9"/>
        <v>0</v>
      </c>
      <c r="U73" s="15">
        <f>'[2]тариф начисл. 2019 с янв'!$P$80</f>
        <v>1618.09</v>
      </c>
      <c r="V73" s="15">
        <f>'[2]тариф начисл. 2019 с янв'!$O$80+'[2]авг'!$F$80</f>
        <v>10279.33</v>
      </c>
      <c r="W73" s="15">
        <f>'[2]тариф начисл. 2019 с янв'!$N$80</f>
        <v>141236.32</v>
      </c>
      <c r="X73" s="15"/>
      <c r="Y73" s="15">
        <f>'[4]тариф начисл. 2021 с янв'!$BE$79+'[4]год'!$Z$79</f>
        <v>175814.23</v>
      </c>
      <c r="Z73" s="15">
        <f>'[2]тариф начисл. 2019 с янв'!$AC$80</f>
        <v>231.16</v>
      </c>
      <c r="AA73" s="15">
        <f>'[2]тариф начисл. 2019 с янв'!$AD$80+'[2]тариф начисл. 2019 с янв'!$AE$80</f>
        <v>21728.66</v>
      </c>
      <c r="AB73" s="15">
        <f>'[2]тариф начисл. 2019 с янв'!$AA$80</f>
        <v>924.62</v>
      </c>
      <c r="AC73" s="15">
        <f>'[2]тариф начисл. 2019 с янв'!$AB$80</f>
        <v>693.47</v>
      </c>
      <c r="AD73" s="15">
        <f>'[2]тариф начисл. 2019 с янв'!$Z$80</f>
        <v>20341.73</v>
      </c>
      <c r="AE73" s="15">
        <f>'[2]тариф начисл. 2019 с янв'!$V$80</f>
        <v>74894.54</v>
      </c>
      <c r="AF73" s="15"/>
      <c r="AG73" s="15">
        <f>'[2]тариф начисл. 2019 с янв'!$BA$80</f>
        <v>33286.46</v>
      </c>
      <c r="AH73" s="16">
        <f t="shared" si="10"/>
        <v>481048.6099999999</v>
      </c>
      <c r="AI73" s="261">
        <f>'[2]тариф начисл. 2019 с янв'!$AJ$80</f>
        <v>48773.92</v>
      </c>
      <c r="AJ73" s="261">
        <f>'[4]тариф начисл. 2021 с янв'!$AO$79</f>
        <v>37678.43</v>
      </c>
      <c r="AK73" s="261">
        <f>'[2]тариф начисл. 2019 с янв'!$AS$80</f>
        <v>41376.92</v>
      </c>
      <c r="AL73" s="261">
        <f>'[2]тариф начисл. 2019 с янв'!$AW$80</f>
        <v>19648.26</v>
      </c>
      <c r="AM73" s="261">
        <f>'[2]тариф начисл. 2019 с янв'!$AZ$80</f>
        <v>33748.78</v>
      </c>
      <c r="AN73" s="16">
        <f t="shared" si="12"/>
        <v>181226.31</v>
      </c>
      <c r="AO73" s="16">
        <f t="shared" si="8"/>
        <v>662274.9199999999</v>
      </c>
      <c r="AP73" s="250">
        <f t="shared" si="13"/>
        <v>58801.96999999997</v>
      </c>
      <c r="AQ73" s="22">
        <f t="shared" si="14"/>
        <v>603472.95</v>
      </c>
    </row>
    <row r="74" spans="1:43" ht="12.75">
      <c r="A74" s="4"/>
      <c r="B74" s="25"/>
      <c r="C74" s="144">
        <v>69</v>
      </c>
      <c r="D74" s="84" t="s">
        <v>110</v>
      </c>
      <c r="E74" s="74">
        <v>13</v>
      </c>
      <c r="F74" s="110" t="s">
        <v>107</v>
      </c>
      <c r="G74" s="74">
        <v>1979</v>
      </c>
      <c r="H74" s="68">
        <f>'[1]тариф начисл. 2018 с янв'!$I$80</f>
        <v>2665</v>
      </c>
      <c r="I74" s="75" t="s">
        <v>40</v>
      </c>
      <c r="J74" s="75">
        <v>21.73</v>
      </c>
      <c r="K74" s="142">
        <v>79465.60999999999</v>
      </c>
      <c r="L74" s="256">
        <f>'[5]УК+ООО'!$K$96</f>
        <v>675942.6</v>
      </c>
      <c r="M74" s="256">
        <f>'[5]УК+ООО'!$N$96</f>
        <v>660896.04</v>
      </c>
      <c r="N74" s="256">
        <v>0</v>
      </c>
      <c r="O74" s="258">
        <f t="shared" si="11"/>
        <v>94512.16999999993</v>
      </c>
      <c r="P74" s="86"/>
      <c r="Q74" s="254">
        <v>0</v>
      </c>
      <c r="R74" s="254">
        <v>25380.3</v>
      </c>
      <c r="S74" s="254">
        <v>21979.08</v>
      </c>
      <c r="T74" s="254">
        <f aca="true" t="shared" si="15" ref="T74:T84">Q74+R74-S74</f>
        <v>3401.2199999999975</v>
      </c>
      <c r="U74" s="15">
        <f>'[2]тариф начисл. 2019 с янв'!$P$81</f>
        <v>2238.6</v>
      </c>
      <c r="V74" s="15">
        <f>'[2]тариф начисл. 2019 с янв'!$O$81+'[2]авг'!$F$81</f>
        <v>48045.4</v>
      </c>
      <c r="W74" s="15">
        <f>'[2]тариф начисл. 2019 с янв'!$N$81</f>
        <v>195397.8</v>
      </c>
      <c r="X74" s="15"/>
      <c r="Y74" s="15"/>
      <c r="Z74" s="15">
        <f>'[2]тариф начисл. 2019 с янв'!$AC$81</f>
        <v>319.8</v>
      </c>
      <c r="AA74" s="15">
        <f>'[2]тариф начисл. 2019 с янв'!$AD$81+'[2]тариф начисл. 2019 с янв'!$AE$81</f>
        <v>30061.2</v>
      </c>
      <c r="AB74" s="15">
        <f>'[2]тариф начисл. 2019 с янв'!$AA$81</f>
        <v>1279.2</v>
      </c>
      <c r="AC74" s="15">
        <f>'[2]тариф начисл. 2019 с янв'!$AB$81+'[3]год'!$F$81</f>
        <v>2302.98</v>
      </c>
      <c r="AD74" s="15">
        <f>'[2]тариф начисл. 2019 с янв'!$Z$81</f>
        <v>28142.4</v>
      </c>
      <c r="AE74" s="15">
        <f>'[2]тариф начисл. 2019 с янв'!$V$81</f>
        <v>103615.2</v>
      </c>
      <c r="AF74" s="15"/>
      <c r="AG74" s="15">
        <f>'[2]тариф начисл. 2019 с янв'!$BA$81</f>
        <v>46051.2</v>
      </c>
      <c r="AH74" s="16">
        <f t="shared" si="10"/>
        <v>457453.78</v>
      </c>
      <c r="AI74" s="261">
        <f>'[2]тариф начисл. 2019 с янв'!$AJ$81</f>
        <v>99457.8</v>
      </c>
      <c r="AJ74" s="261">
        <f>'[2]тариф начисл. 2019 с янв'!$AO$81</f>
        <v>52127.4</v>
      </c>
      <c r="AK74" s="261">
        <f>'[2]тариф начисл. 2019 с янв'!$AS$81</f>
        <v>57244.2</v>
      </c>
      <c r="AL74" s="261">
        <f>'[2]тариф начисл. 2019 с янв'!$AW$81</f>
        <v>27183</v>
      </c>
      <c r="AM74" s="261">
        <f>'[2]тариф начисл. 2019 с янв'!$AZ$81</f>
        <v>46690.8</v>
      </c>
      <c r="AN74" s="16">
        <f t="shared" si="12"/>
        <v>282703.2</v>
      </c>
      <c r="AO74" s="16">
        <f t="shared" si="8"/>
        <v>740156.98</v>
      </c>
      <c r="AP74" s="250">
        <f t="shared" si="13"/>
        <v>57281.85999999994</v>
      </c>
      <c r="AQ74" s="22">
        <f t="shared" si="14"/>
        <v>682875.12</v>
      </c>
    </row>
    <row r="75" spans="1:43" ht="12.75">
      <c r="A75" s="4"/>
      <c r="B75" s="25"/>
      <c r="C75" s="144">
        <v>70</v>
      </c>
      <c r="D75" s="84" t="s">
        <v>111</v>
      </c>
      <c r="E75" s="110" t="s">
        <v>108</v>
      </c>
      <c r="F75" s="110" t="s">
        <v>106</v>
      </c>
      <c r="G75" s="74">
        <v>2011</v>
      </c>
      <c r="H75" s="68">
        <f>'[1]тариф начисл. 2018 с янв'!$I$81</f>
        <v>3482.6</v>
      </c>
      <c r="I75" s="75" t="s">
        <v>40</v>
      </c>
      <c r="J75" s="75">
        <v>25.92</v>
      </c>
      <c r="K75" s="142">
        <v>220778.47999999998</v>
      </c>
      <c r="L75" s="256">
        <f>'[5]УК+ООО'!$K$98</f>
        <v>830383.2</v>
      </c>
      <c r="M75" s="256">
        <f>'[5]УК+ООО'!$N$98</f>
        <v>933673.83</v>
      </c>
      <c r="N75" s="256">
        <v>0</v>
      </c>
      <c r="O75" s="258">
        <f t="shared" si="11"/>
        <v>117487.84999999998</v>
      </c>
      <c r="P75" s="86"/>
      <c r="Q75" s="254">
        <f>21226.72+9440.04</f>
        <v>30666.760000000002</v>
      </c>
      <c r="R75" s="254">
        <v>194893.53</v>
      </c>
      <c r="S75" s="254">
        <v>180022.3</v>
      </c>
      <c r="T75" s="254">
        <f t="shared" si="15"/>
        <v>45537.99000000002</v>
      </c>
      <c r="U75" s="15">
        <f>'[2]тариф начисл. 2019 с янв'!$P$82</f>
        <v>2925.38</v>
      </c>
      <c r="V75" s="15">
        <f>'[2]тариф начисл. 2019 с янв'!$O$82+'[2]авг'!$F$82</f>
        <v>15268.27</v>
      </c>
      <c r="W75" s="15">
        <f>'[2]тариф начисл. 2019 с янв'!$N$82</f>
        <v>174269.3</v>
      </c>
      <c r="X75" s="15"/>
      <c r="Y75" s="15">
        <f>'[4]тариф начисл. 2021 с янв'!$BE$81+'[4]год'!$Z$81</f>
        <v>308971.26</v>
      </c>
      <c r="Z75" s="15">
        <f>'[2]тариф начисл. 2019 с янв'!$AC$82</f>
        <v>417.91</v>
      </c>
      <c r="AA75" s="15">
        <f>'[2]тариф начисл. 2019 с янв'!$AD$82+'[2]тариф начисл. 2019 с янв'!$AE$82</f>
        <v>39283.72</v>
      </c>
      <c r="AB75" s="15">
        <f>'[2]тариф начисл. 2019 с янв'!$AA$82</f>
        <v>1671.65</v>
      </c>
      <c r="AC75" s="15">
        <f>'[2]тариф начисл. 2019 с янв'!$AB$82</f>
        <v>1253.74</v>
      </c>
      <c r="AD75" s="15">
        <f>'[2]тариф начисл. 2019 с янв'!$Z$82</f>
        <v>36776.26</v>
      </c>
      <c r="AE75" s="15">
        <f>'[2]тариф начисл. 2019 с янв'!$V$82</f>
        <v>135403.49</v>
      </c>
      <c r="AF75" s="15"/>
      <c r="AG75" s="15">
        <f>'[2]тариф начисл. 2019 с янв'!$BA$82</f>
        <v>60179.33</v>
      </c>
      <c r="AH75" s="16">
        <f t="shared" si="10"/>
        <v>776420.3099999999</v>
      </c>
      <c r="AI75" s="261">
        <f>'[4]тариф начисл. 2021 с янв'!$AJ$81+'[4]год'!$R$81</f>
        <v>115089.43</v>
      </c>
      <c r="AJ75" s="261">
        <f>'[2]тариф начисл. 2019 с янв'!$AO$82</f>
        <v>68119.66</v>
      </c>
      <c r="AK75" s="261">
        <f>'[2]тариф начисл. 2019 с янв'!$AS$82</f>
        <v>74806.25</v>
      </c>
      <c r="AL75" s="261">
        <f>'[2]тариф начисл. 2019 с янв'!$AW$82</f>
        <v>35522.52</v>
      </c>
      <c r="AM75" s="261">
        <f>'[2]тариф начисл. 2019 с янв'!$AZ$82</f>
        <v>61015.15</v>
      </c>
      <c r="AN75" s="16">
        <f t="shared" si="12"/>
        <v>354553.01</v>
      </c>
      <c r="AO75" s="16">
        <f t="shared" si="8"/>
        <v>1130973.3199999998</v>
      </c>
      <c r="AP75" s="250">
        <f t="shared" si="13"/>
        <v>17277.189999999886</v>
      </c>
      <c r="AQ75" s="22">
        <f t="shared" si="14"/>
        <v>1113696.13</v>
      </c>
    </row>
    <row r="76" spans="1:43" ht="12.75">
      <c r="A76" s="4"/>
      <c r="B76" s="25"/>
      <c r="C76" s="144">
        <v>71</v>
      </c>
      <c r="D76" s="199" t="s">
        <v>196</v>
      </c>
      <c r="E76" s="110">
        <v>43</v>
      </c>
      <c r="F76" s="110" t="s">
        <v>107</v>
      </c>
      <c r="G76" s="74">
        <v>1993</v>
      </c>
      <c r="H76" s="68">
        <f>'[2]тариф начисл. 2019 с янв'!$I$83</f>
        <v>6349</v>
      </c>
      <c r="I76" s="75" t="s">
        <v>40</v>
      </c>
      <c r="J76" s="75">
        <v>35.76</v>
      </c>
      <c r="K76" s="142">
        <v>2878895.1799999997</v>
      </c>
      <c r="L76" s="256">
        <f>'[5]УК+ООО'!$K$27</f>
        <v>2684360.88</v>
      </c>
      <c r="M76" s="256">
        <f>'[5]УК+ООО'!$N$27</f>
        <v>1742676.73</v>
      </c>
      <c r="N76" s="256">
        <v>0</v>
      </c>
      <c r="O76" s="258">
        <f t="shared" si="11"/>
        <v>3820579.3299999996</v>
      </c>
      <c r="P76" s="86"/>
      <c r="Q76" s="254">
        <v>-3671.75</v>
      </c>
      <c r="R76" s="254">
        <v>66202.77</v>
      </c>
      <c r="S76" s="254">
        <v>66213.99</v>
      </c>
      <c r="T76" s="254">
        <f t="shared" si="15"/>
        <v>-3682.970000000001</v>
      </c>
      <c r="U76" s="15">
        <f>'[2]тариф начисл. 2019 с янв'!$P$83</f>
        <v>5333.16</v>
      </c>
      <c r="V76" s="15">
        <f>'[2]тариф начисл. 2019 с янв'!$O$83+'[2]авг'!$F$83</f>
        <v>47761.11</v>
      </c>
      <c r="W76" s="15">
        <f>'[2]тариф начисл. 2019 с янв'!$N$83</f>
        <v>465508.68</v>
      </c>
      <c r="X76" s="15">
        <f>'[2]тариф начисл. 2019 с янв'!$BC$83</f>
        <v>184374.96</v>
      </c>
      <c r="Y76" s="15">
        <f>'[4]тариф начисл. 2021 с янв'!$BE$82+'[4]год'!$Z$82</f>
        <v>1005694.12</v>
      </c>
      <c r="Z76" s="15">
        <f>'[2]тариф начисл. 2019 с янв'!$AC$83</f>
        <v>761.88</v>
      </c>
      <c r="AA76" s="15">
        <f>'[2]тариф начисл. 2019 с янв'!$AD$83+'[2]тариф начисл. 2019 с янв'!$AE$83</f>
        <v>71616.72</v>
      </c>
      <c r="AB76" s="15">
        <f>'[2]тариф начисл. 2019 с янв'!$AA$83</f>
        <v>3047.52</v>
      </c>
      <c r="AC76" s="15">
        <f>'[2]тариф начисл. 2019 с янв'!$AB$83+'[3]год'!$F$83</f>
        <v>2285.64</v>
      </c>
      <c r="AD76" s="15">
        <f>'[2]тариф начисл. 2019 с янв'!$Z$83</f>
        <v>0</v>
      </c>
      <c r="AE76" s="15">
        <f>'[2]тариф начисл. 2019 с янв'!$V$83</f>
        <v>246849.12</v>
      </c>
      <c r="AF76" s="15"/>
      <c r="AG76" s="15">
        <f>'[2]тариф начисл. 2019 с янв'!$BA$83</f>
        <v>109710.72</v>
      </c>
      <c r="AH76" s="16">
        <f t="shared" si="10"/>
        <v>2142943.63</v>
      </c>
      <c r="AI76" s="261">
        <f>'[2]тариф начисл. 2019 с янв'!$AJ$83</f>
        <v>236944.68</v>
      </c>
      <c r="AJ76" s="261">
        <f>'[2]тариф начисл. 2019 с янв'!$AO$83</f>
        <v>124186.44</v>
      </c>
      <c r="AK76" s="261">
        <f>'[2]тариф начисл. 2019 с янв'!$AS$83</f>
        <v>136376.52</v>
      </c>
      <c r="AL76" s="261">
        <f>'[2]тариф начисл. 2019 с янв'!$AW$83</f>
        <v>64759.8</v>
      </c>
      <c r="AM76" s="261">
        <f>'[2]тариф начисл. 2019 с янв'!$AZ$83</f>
        <v>111234.48</v>
      </c>
      <c r="AN76" s="16">
        <f t="shared" si="12"/>
        <v>673501.92</v>
      </c>
      <c r="AO76" s="16">
        <f t="shared" si="8"/>
        <v>2816445.55</v>
      </c>
      <c r="AP76" s="250">
        <f t="shared" si="13"/>
        <v>1007554.8299999998</v>
      </c>
      <c r="AQ76" s="22">
        <f t="shared" si="14"/>
        <v>1808890.72</v>
      </c>
    </row>
    <row r="77" spans="1:43" ht="12.75">
      <c r="A77" s="4">
        <v>93</v>
      </c>
      <c r="B77" s="21">
        <v>90</v>
      </c>
      <c r="C77" s="144">
        <v>72</v>
      </c>
      <c r="D77" s="84" t="s">
        <v>14</v>
      </c>
      <c r="E77" s="73">
        <v>120</v>
      </c>
      <c r="F77" s="74" t="s">
        <v>32</v>
      </c>
      <c r="G77" s="73">
        <v>1959</v>
      </c>
      <c r="H77" s="68">
        <f>'[2]тариф начисл. 2019 с янв'!$I$84</f>
        <v>1260</v>
      </c>
      <c r="I77" s="75" t="s">
        <v>40</v>
      </c>
      <c r="J77" s="75">
        <v>20.88</v>
      </c>
      <c r="K77" s="142">
        <v>125570.10000000003</v>
      </c>
      <c r="L77" s="256">
        <f>'[5]УК+ООО'!$K$99</f>
        <v>315705.72</v>
      </c>
      <c r="M77" s="256">
        <f>'[5]УК+ООО'!$N$99</f>
        <v>308954.22</v>
      </c>
      <c r="N77" s="256">
        <v>0</v>
      </c>
      <c r="O77" s="258">
        <f t="shared" si="11"/>
        <v>132321.60000000003</v>
      </c>
      <c r="P77" s="86"/>
      <c r="Q77" s="254">
        <v>0</v>
      </c>
      <c r="R77" s="254">
        <v>3537.5</v>
      </c>
      <c r="S77" s="254">
        <v>3187.5</v>
      </c>
      <c r="T77" s="254">
        <f t="shared" si="15"/>
        <v>350</v>
      </c>
      <c r="U77" s="15">
        <f>'[2]тариф начисл. 2019 с янв'!$P$84</f>
        <v>1058.4</v>
      </c>
      <c r="V77" s="15">
        <f>'[2]тариф начисл. 2019 с янв'!$O$84+'[2]авг'!$F$84</f>
        <v>5602.74</v>
      </c>
      <c r="W77" s="15">
        <f>'[2]тариф начисл. 2019 с янв'!$N$84</f>
        <v>92383.2</v>
      </c>
      <c r="X77" s="15"/>
      <c r="Y77" s="15"/>
      <c r="Z77" s="15">
        <f>'[2]тариф начисл. 2019 с янв'!$AC$84</f>
        <v>151.2</v>
      </c>
      <c r="AA77" s="15">
        <f>'[2]тариф начисл. 2019 с янв'!$AD$84+'[2]тариф начисл. 2019 с янв'!$AE$84</f>
        <v>14212.8</v>
      </c>
      <c r="AB77" s="15">
        <f>'[2]тариф начисл. 2019 с янв'!$AA$84</f>
        <v>604.8</v>
      </c>
      <c r="AC77" s="15">
        <f>'[2]тариф начисл. 2019 с янв'!$AB$84+'[3]год'!$F$84</f>
        <v>1775.42</v>
      </c>
      <c r="AD77" s="15">
        <f>'[2]тариф начисл. 2019 с янв'!$Z$84</f>
        <v>13305.6</v>
      </c>
      <c r="AE77" s="15">
        <f>'[2]тариф начисл. 2019 с янв'!$V$84</f>
        <v>48988.8</v>
      </c>
      <c r="AF77" s="15"/>
      <c r="AG77" s="15">
        <f>'[2]тариф начисл. 2019 с янв'!$BA$84</f>
        <v>21772.8</v>
      </c>
      <c r="AH77" s="16">
        <f aca="true" t="shared" si="16" ref="AH77:AH84">SUM(U77:AG77)</f>
        <v>199855.76</v>
      </c>
      <c r="AI77" s="261">
        <f>'[4]тариф начисл. 2021 с янв'!$AJ$83+'[4]год'!$R$83</f>
        <v>48973.2</v>
      </c>
      <c r="AJ77" s="261">
        <f>'[2]тариф начисл. 2019 с янв'!$AO$84</f>
        <v>24645.6</v>
      </c>
      <c r="AK77" s="261">
        <f>'[2]тариф начисл. 2019 с янв'!$AS$84</f>
        <v>14364</v>
      </c>
      <c r="AL77" s="261">
        <f>'[2]тариф начисл. 2019 с янв'!$AW$84</f>
        <v>12700.8</v>
      </c>
      <c r="AM77" s="261">
        <f>'[2]тариф начисл. 2019 с янв'!$AZ$84</f>
        <v>22075.2</v>
      </c>
      <c r="AN77" s="16">
        <f t="shared" si="12"/>
        <v>122758.79999999999</v>
      </c>
      <c r="AO77" s="16">
        <f t="shared" si="8"/>
        <v>322614.56</v>
      </c>
      <c r="AP77" s="252">
        <f t="shared" si="13"/>
        <v>10472.840000000026</v>
      </c>
      <c r="AQ77" s="22">
        <f t="shared" si="14"/>
        <v>312141.72</v>
      </c>
    </row>
    <row r="78" spans="1:43" ht="12.75">
      <c r="A78" s="4">
        <v>94</v>
      </c>
      <c r="B78" s="26">
        <v>91</v>
      </c>
      <c r="C78" s="144">
        <v>73</v>
      </c>
      <c r="D78" s="84" t="s">
        <v>14</v>
      </c>
      <c r="E78" s="73">
        <v>122</v>
      </c>
      <c r="F78" s="74" t="s">
        <v>32</v>
      </c>
      <c r="G78" s="73">
        <v>1958</v>
      </c>
      <c r="H78" s="68">
        <f>'[2]тариф начисл. 2019 с янв'!$I$85</f>
        <v>1752.7</v>
      </c>
      <c r="I78" s="75" t="s">
        <v>40</v>
      </c>
      <c r="J78" s="75">
        <v>20.88</v>
      </c>
      <c r="K78" s="142">
        <v>218140.64</v>
      </c>
      <c r="L78" s="256">
        <f>'[5]УК+ООО'!$K$100</f>
        <v>439064.44</v>
      </c>
      <c r="M78" s="256">
        <f>'[5]УК+ООО'!$N$100</f>
        <v>392341.26</v>
      </c>
      <c r="N78" s="256">
        <v>0</v>
      </c>
      <c r="O78" s="258">
        <f t="shared" si="11"/>
        <v>264863.82000000007</v>
      </c>
      <c r="P78" s="86"/>
      <c r="Q78" s="254">
        <v>0</v>
      </c>
      <c r="R78" s="254">
        <v>3537.5</v>
      </c>
      <c r="S78" s="254">
        <v>3187.5</v>
      </c>
      <c r="T78" s="254">
        <f t="shared" si="15"/>
        <v>350</v>
      </c>
      <c r="U78" s="15">
        <f>'[2]тариф начисл. 2019 с янв'!$P$85</f>
        <v>1472.27</v>
      </c>
      <c r="V78" s="15">
        <f>'[2]тариф начисл. 2019 с янв'!$O$85+'[2]авг'!$F$85</f>
        <v>10401.369999999999</v>
      </c>
      <c r="W78" s="15">
        <f>'[2]тариф начисл. 2019 с янв'!$N$85</f>
        <v>128507.96</v>
      </c>
      <c r="X78" s="15"/>
      <c r="Y78" s="15"/>
      <c r="Z78" s="15">
        <f>'[2]тариф начисл. 2019 с янв'!$AC$85</f>
        <v>210.32</v>
      </c>
      <c r="AA78" s="15">
        <f>'[2]тариф начисл. 2019 с янв'!$AD$85+'[2]тариф начисл. 2019 с янв'!$AE$85</f>
        <v>19770.46</v>
      </c>
      <c r="AB78" s="15">
        <f>'[2]тариф начисл. 2019 с янв'!$AA$85</f>
        <v>841.3</v>
      </c>
      <c r="AC78" s="15">
        <f>'[2]тариф начисл. 2019 с янв'!$AB$85+'[3]год'!$F$85</f>
        <v>2469.95</v>
      </c>
      <c r="AD78" s="15">
        <f>'[2]тариф начисл. 2019 с янв'!$Z$85</f>
        <v>18508.51</v>
      </c>
      <c r="AE78" s="15">
        <f>'[2]тариф начисл. 2019 с янв'!$V$85</f>
        <v>68144.98</v>
      </c>
      <c r="AF78" s="15"/>
      <c r="AG78" s="15">
        <f>'[2]тариф начисл. 2019 с янв'!$BA$85</f>
        <v>30286.66</v>
      </c>
      <c r="AH78" s="16">
        <f t="shared" si="16"/>
        <v>280613.77999999997</v>
      </c>
      <c r="AI78" s="261">
        <f>'[4]тариф начисл. 2021 с янв'!$AJ$84+'[4]год'!$R$84</f>
        <v>127714.76000000001</v>
      </c>
      <c r="AJ78" s="261">
        <f>'[2]тариф начисл. 2019 с янв'!$AO$85</f>
        <v>34282.81</v>
      </c>
      <c r="AK78" s="261">
        <f>'[2]тариф начисл. 2019 с янв'!$AS$85</f>
        <v>19980.78</v>
      </c>
      <c r="AL78" s="261">
        <f>'[2]тариф начисл. 2019 с янв'!$AW$85</f>
        <v>17667.22</v>
      </c>
      <c r="AM78" s="261">
        <f>'[2]тариф начисл. 2019 с янв'!$AZ$85</f>
        <v>30707.3</v>
      </c>
      <c r="AN78" s="16">
        <f t="shared" si="12"/>
        <v>230352.87</v>
      </c>
      <c r="AO78" s="16">
        <f t="shared" si="8"/>
        <v>510966.64999999997</v>
      </c>
      <c r="AP78" s="250">
        <f t="shared" si="13"/>
        <v>115437.88999999996</v>
      </c>
      <c r="AQ78" s="22">
        <f t="shared" si="14"/>
        <v>395528.76</v>
      </c>
    </row>
    <row r="79" spans="1:43" ht="12.75">
      <c r="A79" s="4">
        <v>95</v>
      </c>
      <c r="B79" s="21">
        <v>92</v>
      </c>
      <c r="C79" s="144">
        <v>74</v>
      </c>
      <c r="D79" s="84" t="s">
        <v>14</v>
      </c>
      <c r="E79" s="73">
        <v>124</v>
      </c>
      <c r="F79" s="74" t="s">
        <v>32</v>
      </c>
      <c r="G79" s="73">
        <v>1958</v>
      </c>
      <c r="H79" s="68">
        <f>'[1]тариф начисл. 2018 с янв'!$I$84</f>
        <v>1722.5</v>
      </c>
      <c r="I79" s="75" t="s">
        <v>40</v>
      </c>
      <c r="J79" s="75">
        <v>20.88</v>
      </c>
      <c r="K79" s="142">
        <v>118882.88999999996</v>
      </c>
      <c r="L79" s="256">
        <f>'[5]УК+ООО'!$K$101</f>
        <v>431589.24</v>
      </c>
      <c r="M79" s="256">
        <f>'[5]УК+ООО'!$N$101</f>
        <v>404341.59</v>
      </c>
      <c r="N79" s="256">
        <v>0</v>
      </c>
      <c r="O79" s="258">
        <f t="shared" si="11"/>
        <v>146130.53999999986</v>
      </c>
      <c r="P79" s="86"/>
      <c r="Q79" s="254">
        <f>1722.5+1606.7+0</f>
        <v>3329.2</v>
      </c>
      <c r="R79" s="254">
        <f>22688.15+6426.82+3537.5+3527.7</f>
        <v>36180.17</v>
      </c>
      <c r="S79" s="254">
        <f>22688.15+7497.95+3187.5+3739.74</f>
        <v>37113.340000000004</v>
      </c>
      <c r="T79" s="254">
        <f t="shared" si="15"/>
        <v>2396.0299999999916</v>
      </c>
      <c r="U79" s="15">
        <f>'[2]тариф начисл. 2019 с янв'!$P$86</f>
        <v>1446.9</v>
      </c>
      <c r="V79" s="15">
        <f>'[2]тариф начисл. 2019 с янв'!$O$86+'[2]авг'!$F$86</f>
        <v>12529.470000000001</v>
      </c>
      <c r="W79" s="15">
        <f>'[2]тариф начисл. 2019 с янв'!$N$86</f>
        <v>126293.7</v>
      </c>
      <c r="X79" s="15"/>
      <c r="Y79" s="15"/>
      <c r="Z79" s="15">
        <f>'[2]тариф начисл. 2019 с янв'!$AC$86</f>
        <v>206.7</v>
      </c>
      <c r="AA79" s="15">
        <f>'[2]тариф начисл. 2019 с янв'!$AD$86+'[2]тариф начисл. 2019 с янв'!$AE$86</f>
        <v>19429.8</v>
      </c>
      <c r="AB79" s="15">
        <f>'[2]тариф начисл. 2019 с янв'!$AA$86</f>
        <v>826.8</v>
      </c>
      <c r="AC79" s="15">
        <f>'[2]тариф начисл. 2019 с янв'!$AB$86+'[3]год'!$F$86</f>
        <v>2260.92</v>
      </c>
      <c r="AD79" s="15">
        <f>'[2]тариф начисл. 2019 с янв'!$Z$86</f>
        <v>18189.6</v>
      </c>
      <c r="AE79" s="15">
        <f>'[2]тариф начисл. 2019 с янв'!$V$86</f>
        <v>66970.8</v>
      </c>
      <c r="AF79" s="15"/>
      <c r="AG79" s="15">
        <f>'[2]тариф начисл. 2019 с янв'!$BA$86</f>
        <v>29764.8</v>
      </c>
      <c r="AH79" s="16">
        <f t="shared" si="16"/>
        <v>277919.49</v>
      </c>
      <c r="AI79" s="261">
        <f>'[4]тариф начисл. 2021 с янв'!$AJ$85+'[4]год'!$R$85</f>
        <v>173093.7</v>
      </c>
      <c r="AJ79" s="261">
        <f>'[2]тариф начисл. 2019 с янв'!$AO$86</f>
        <v>33692.1</v>
      </c>
      <c r="AK79" s="261">
        <f>'[2]тариф начисл. 2019 с янв'!$AS$86</f>
        <v>19636.5</v>
      </c>
      <c r="AL79" s="261">
        <f>'[2]тариф начисл. 2019 с янв'!$AW$86</f>
        <v>17362.8</v>
      </c>
      <c r="AM79" s="261">
        <f>'[2]тариф начисл. 2019 с янв'!$AZ$86</f>
        <v>30178.2</v>
      </c>
      <c r="AN79" s="16">
        <f t="shared" si="12"/>
        <v>273963.3</v>
      </c>
      <c r="AO79" s="16">
        <f t="shared" si="8"/>
        <v>551882.79</v>
      </c>
      <c r="AP79" s="250">
        <f t="shared" si="13"/>
        <v>110427.86000000002</v>
      </c>
      <c r="AQ79" s="22">
        <f t="shared" si="14"/>
        <v>441454.93000000005</v>
      </c>
    </row>
    <row r="80" spans="1:43" ht="12.75">
      <c r="A80" s="4">
        <v>96</v>
      </c>
      <c r="B80" s="25">
        <v>93</v>
      </c>
      <c r="C80" s="144">
        <v>75</v>
      </c>
      <c r="D80" s="84" t="s">
        <v>14</v>
      </c>
      <c r="E80" s="73">
        <v>126</v>
      </c>
      <c r="F80" s="74" t="s">
        <v>32</v>
      </c>
      <c r="G80" s="73">
        <v>1957</v>
      </c>
      <c r="H80" s="68">
        <f>'[1]тариф начисл. 2018 с янв'!$I$85</f>
        <v>1309.9</v>
      </c>
      <c r="I80" s="75" t="s">
        <v>40</v>
      </c>
      <c r="J80" s="75">
        <v>20.88</v>
      </c>
      <c r="K80" s="142">
        <v>193998.87</v>
      </c>
      <c r="L80" s="256">
        <f>'[5]УК+ООО'!$K$104</f>
        <v>311596.44</v>
      </c>
      <c r="M80" s="256">
        <f>'[5]УК+ООО'!$N$104</f>
        <v>371530.29</v>
      </c>
      <c r="N80" s="256">
        <v>0</v>
      </c>
      <c r="O80" s="258">
        <f t="shared" si="11"/>
        <v>134065.02000000002</v>
      </c>
      <c r="P80" s="86"/>
      <c r="Q80" s="254">
        <f>1159.72+5237.3</f>
        <v>6397.02</v>
      </c>
      <c r="R80" s="254">
        <f>16376.3+4638.88+3537.5+36043.32</f>
        <v>60596</v>
      </c>
      <c r="S80" s="254">
        <f>16376.3+5412.02+3187.5+32594.36</f>
        <v>57570.18</v>
      </c>
      <c r="T80" s="254">
        <f t="shared" si="15"/>
        <v>9422.840000000004</v>
      </c>
      <c r="U80" s="15">
        <f>'[2]тариф начисл. 2019 с янв'!$P$87</f>
        <v>1100.32</v>
      </c>
      <c r="V80" s="15">
        <f>'[2]тариф начисл. 2019 с янв'!$O$87+'[2]авг'!$F$87</f>
        <v>11085.68</v>
      </c>
      <c r="W80" s="15">
        <f>'[2]тариф начисл. 2019 с янв'!$N$87</f>
        <v>96041.87</v>
      </c>
      <c r="X80" s="15"/>
      <c r="Y80" s="15"/>
      <c r="Z80" s="15">
        <f>'[2]тариф начисл. 2019 с янв'!$AC$87</f>
        <v>157.19</v>
      </c>
      <c r="AA80" s="15">
        <f>'[2]тариф начисл. 2019 с янв'!$AD$87+'[2]тариф начисл. 2019 с янв'!$AE$87</f>
        <v>14775.68</v>
      </c>
      <c r="AB80" s="15">
        <f>'[2]тариф начисл. 2019 с янв'!$AA$87</f>
        <v>628.75</v>
      </c>
      <c r="AC80" s="15">
        <f>'[3]тариф начисл. 2020 с янв'!$AB$87+'[3]год'!$F$87</f>
        <v>1804.56</v>
      </c>
      <c r="AD80" s="15">
        <f>'[2]тариф начисл. 2019 с янв'!$Z$87</f>
        <v>13832.54</v>
      </c>
      <c r="AE80" s="15">
        <f>'[2]тариф начисл. 2019 с янв'!$V$87</f>
        <v>50928.91</v>
      </c>
      <c r="AF80" s="15"/>
      <c r="AG80" s="15">
        <f>'[2]тариф начисл. 2019 с янв'!$BA$87</f>
        <v>22635.07</v>
      </c>
      <c r="AH80" s="16">
        <f t="shared" si="16"/>
        <v>212990.57</v>
      </c>
      <c r="AI80" s="261">
        <f>'[4]тариф начисл. 2021 с янв'!$AJ$86+'[4]год'!$R$86</f>
        <v>176415.47</v>
      </c>
      <c r="AJ80" s="261">
        <f>'[2]тариф начисл. 2019 с янв'!$AO$87</f>
        <v>25621.64</v>
      </c>
      <c r="AK80" s="261">
        <f>'[2]тариф начисл. 2019 с янв'!$AS$87</f>
        <v>14932.86</v>
      </c>
      <c r="AL80" s="261">
        <f>'[2]тариф начисл. 2019 с янв'!$AW$87</f>
        <v>13203.79</v>
      </c>
      <c r="AM80" s="261">
        <f>'[2]тариф начисл. 2019 с янв'!$AZ$87</f>
        <v>22949.45</v>
      </c>
      <c r="AN80" s="16">
        <f t="shared" si="12"/>
        <v>253123.21</v>
      </c>
      <c r="AO80" s="16">
        <f t="shared" si="8"/>
        <v>466113.78</v>
      </c>
      <c r="AP80" s="250">
        <f t="shared" si="13"/>
        <v>37013.31000000005</v>
      </c>
      <c r="AQ80" s="22">
        <f t="shared" si="14"/>
        <v>429100.47</v>
      </c>
    </row>
    <row r="81" spans="1:43" ht="12.75">
      <c r="A81" s="4">
        <v>97</v>
      </c>
      <c r="B81" s="26">
        <v>94</v>
      </c>
      <c r="C81" s="144">
        <v>76</v>
      </c>
      <c r="D81" s="84" t="s">
        <v>14</v>
      </c>
      <c r="E81" s="73">
        <v>128</v>
      </c>
      <c r="F81" s="74" t="s">
        <v>32</v>
      </c>
      <c r="G81" s="73">
        <v>1958</v>
      </c>
      <c r="H81" s="68">
        <f>'[1]тариф начисл. 2018 с янв'!$I$86</f>
        <v>1329.9</v>
      </c>
      <c r="I81" s="75" t="s">
        <v>40</v>
      </c>
      <c r="J81" s="75">
        <v>20.88</v>
      </c>
      <c r="K81" s="142">
        <v>86449.15999999997</v>
      </c>
      <c r="L81" s="256">
        <f>'[5]УК+ООО'!$K$107</f>
        <v>333219.72</v>
      </c>
      <c r="M81" s="256">
        <f>'[5]УК+ООО'!$N$107</f>
        <v>338289.55</v>
      </c>
      <c r="N81" s="256">
        <v>0</v>
      </c>
      <c r="O81" s="258">
        <f t="shared" si="11"/>
        <v>81379.32999999996</v>
      </c>
      <c r="P81" s="86"/>
      <c r="Q81" s="254">
        <v>0</v>
      </c>
      <c r="R81" s="254">
        <f>2741.42+3537.5</f>
        <v>6278.92</v>
      </c>
      <c r="S81" s="254">
        <f>388.34+3187.5</f>
        <v>3575.84</v>
      </c>
      <c r="T81" s="254">
        <f t="shared" si="15"/>
        <v>2703.08</v>
      </c>
      <c r="U81" s="15">
        <f>'[2]тариф начисл. 2019 с янв'!$P$88</f>
        <v>1117.12</v>
      </c>
      <c r="V81" s="15">
        <f>'[2]тариф начисл. 2019 с янв'!$O$88+'[2]авг'!$F$88</f>
        <v>25871.57</v>
      </c>
      <c r="W81" s="15">
        <f>'[2]тариф начисл. 2019 с янв'!$N$88</f>
        <v>97508.27</v>
      </c>
      <c r="X81" s="15"/>
      <c r="Y81" s="15"/>
      <c r="Z81" s="15">
        <f>'[2]тариф начисл. 2019 с янв'!$AC$88</f>
        <v>159.59</v>
      </c>
      <c r="AA81" s="15">
        <f>'[2]тариф начисл. 2019 с янв'!$AD$88+'[2]тариф начисл. 2019 с янв'!$AE$88</f>
        <v>15001.28</v>
      </c>
      <c r="AB81" s="15">
        <f>'[2]тариф начисл. 2019 с янв'!$AA$88</f>
        <v>638.35</v>
      </c>
      <c r="AC81" s="15">
        <f>'[2]тариф начисл. 2019 с янв'!$AB$88+'[3]год'!$F$88</f>
        <v>1172.6</v>
      </c>
      <c r="AD81" s="15">
        <f>'[2]тариф начисл. 2019 с янв'!$Z$88</f>
        <v>14043.74</v>
      </c>
      <c r="AE81" s="15">
        <f>'[2]тариф начисл. 2019 с янв'!$V$88</f>
        <v>51706.51</v>
      </c>
      <c r="AF81" s="15"/>
      <c r="AG81" s="15">
        <f>'[2]тариф начисл. 2019 с янв'!$BA$88</f>
        <v>22980.67</v>
      </c>
      <c r="AH81" s="16">
        <f t="shared" si="16"/>
        <v>230199.7</v>
      </c>
      <c r="AI81" s="261">
        <f>'[4]тариф начисл. 2021 с янв'!$AJ$87+'[4]год'!$R$87</f>
        <v>59134.87</v>
      </c>
      <c r="AJ81" s="261">
        <f>'[2]тариф начисл. 2019 с янв'!$AO$88</f>
        <v>26012.84</v>
      </c>
      <c r="AK81" s="261">
        <f>'[2]тариф начисл. 2019 с янв'!$AS$88</f>
        <v>15160.86</v>
      </c>
      <c r="AL81" s="261">
        <f>'[2]тариф начисл. 2019 с янв'!$AW$88</f>
        <v>13405.39</v>
      </c>
      <c r="AM81" s="261">
        <f>'[2]тариф начисл. 2019 с янв'!$AZ$88</f>
        <v>23299.85</v>
      </c>
      <c r="AN81" s="16">
        <f t="shared" si="12"/>
        <v>137013.81</v>
      </c>
      <c r="AO81" s="16">
        <f t="shared" si="8"/>
        <v>367213.51</v>
      </c>
      <c r="AP81" s="250">
        <f t="shared" si="13"/>
        <v>25348.12000000002</v>
      </c>
      <c r="AQ81" s="22">
        <f t="shared" si="14"/>
        <v>341865.39</v>
      </c>
    </row>
    <row r="82" spans="1:43" ht="12.75">
      <c r="A82" s="4">
        <v>98</v>
      </c>
      <c r="B82" s="25">
        <v>95</v>
      </c>
      <c r="C82" s="144">
        <v>77</v>
      </c>
      <c r="D82" s="84" t="s">
        <v>14</v>
      </c>
      <c r="E82" s="73">
        <v>130</v>
      </c>
      <c r="F82" s="74" t="s">
        <v>32</v>
      </c>
      <c r="G82" s="73">
        <v>1958</v>
      </c>
      <c r="H82" s="68">
        <f>'[1]тариф начисл. 2018 с янв'!$I$87</f>
        <v>1334.6</v>
      </c>
      <c r="I82" s="75" t="s">
        <v>40</v>
      </c>
      <c r="J82" s="75">
        <v>20.88</v>
      </c>
      <c r="K82" s="142">
        <v>196017.04000000004</v>
      </c>
      <c r="L82" s="256">
        <f>'[5]УК+ООО'!$K$108</f>
        <v>334397.28</v>
      </c>
      <c r="M82" s="256">
        <f>'[5]УК+ООО'!$N$108</f>
        <v>350145.88</v>
      </c>
      <c r="N82" s="256">
        <v>0</v>
      </c>
      <c r="O82" s="258">
        <f t="shared" si="11"/>
        <v>180268.44000000006</v>
      </c>
      <c r="P82" s="86"/>
      <c r="Q82" s="254">
        <v>0</v>
      </c>
      <c r="R82" s="254">
        <f>2751.11+3537.5</f>
        <v>6288.610000000001</v>
      </c>
      <c r="S82" s="254">
        <f>389.71+3187.5</f>
        <v>3577.21</v>
      </c>
      <c r="T82" s="254">
        <f t="shared" si="15"/>
        <v>2711.4000000000005</v>
      </c>
      <c r="U82" s="15">
        <f>'[2]тариф начисл. 2019 с янв'!$P$89</f>
        <v>1121.06</v>
      </c>
      <c r="V82" s="15">
        <f>'[2]тариф начисл. 2019 с янв'!$O$89+'[2]авг'!$F$89</f>
        <v>4203.7</v>
      </c>
      <c r="W82" s="15">
        <f>'[2]тариф начисл. 2019 с янв'!$N$89</f>
        <v>97852.87</v>
      </c>
      <c r="X82" s="15"/>
      <c r="Y82" s="15"/>
      <c r="Z82" s="15">
        <f>'[2]тариф начисл. 2019 с янв'!$AC$89</f>
        <v>160.15</v>
      </c>
      <c r="AA82" s="15">
        <f>'[2]тариф начисл. 2019 с янв'!$AD$89+'[2]тариф начисл. 2019 с янв'!$AE$89</f>
        <v>15054.28</v>
      </c>
      <c r="AB82" s="15">
        <f>'[2]тариф начисл. 2019 с янв'!$AA$89</f>
        <v>640.61</v>
      </c>
      <c r="AC82" s="15">
        <f>'[2]тариф начисл. 2019 с янв'!$AB$89+'[3]год'!$F$89</f>
        <v>1176.06</v>
      </c>
      <c r="AD82" s="15">
        <f>'[2]тариф начисл. 2019 с янв'!$Z$89+S82</f>
        <v>17670.59</v>
      </c>
      <c r="AE82" s="15">
        <f>'[2]тариф начисл. 2019 с янв'!$V$89</f>
        <v>51889.25</v>
      </c>
      <c r="AF82" s="15"/>
      <c r="AG82" s="15">
        <f>'[2]тариф начисл. 2019 с янв'!$BA$89</f>
        <v>23061.89</v>
      </c>
      <c r="AH82" s="16">
        <f t="shared" si="16"/>
        <v>212830.45999999996</v>
      </c>
      <c r="AI82" s="261">
        <f>'[4]тариф начисл. 2021 с янв'!$AJ$88+'[4]год'!$R$88</f>
        <v>59239.27</v>
      </c>
      <c r="AJ82" s="261">
        <f>'[4]тариф начисл. 2021 с янв'!$AO$88</f>
        <v>26104.78</v>
      </c>
      <c r="AK82" s="261">
        <f>'[2]тариф начисл. 2019 с янв'!$AS$89+3000</f>
        <v>18214.440000000002</v>
      </c>
      <c r="AL82" s="261">
        <f>'[2]тариф начисл. 2019 с янв'!$AW$89+3000</f>
        <v>16452.77</v>
      </c>
      <c r="AM82" s="261">
        <f>'[4]тариф начисл. 2021 с янв'!$AZ$88</f>
        <v>23382.19</v>
      </c>
      <c r="AN82" s="16">
        <f t="shared" si="12"/>
        <v>143393.44999999998</v>
      </c>
      <c r="AO82" s="16">
        <f t="shared" si="8"/>
        <v>356223.9099999999</v>
      </c>
      <c r="AP82" s="250">
        <f t="shared" si="13"/>
        <v>2500.8199999999115</v>
      </c>
      <c r="AQ82" s="22">
        <f t="shared" si="14"/>
        <v>353723.09</v>
      </c>
    </row>
    <row r="83" spans="1:43" ht="12.75">
      <c r="A83" s="4">
        <v>99</v>
      </c>
      <c r="B83" s="25">
        <v>96</v>
      </c>
      <c r="C83" s="144">
        <v>78</v>
      </c>
      <c r="D83" s="84" t="s">
        <v>14</v>
      </c>
      <c r="E83" s="73" t="s">
        <v>30</v>
      </c>
      <c r="F83" s="74" t="s">
        <v>32</v>
      </c>
      <c r="G83" s="73">
        <v>1958</v>
      </c>
      <c r="H83" s="68">
        <f>'[1]тариф начисл. 2018 с янв'!$I$88</f>
        <v>891.2</v>
      </c>
      <c r="I83" s="75" t="s">
        <v>40</v>
      </c>
      <c r="J83" s="75">
        <v>20.88</v>
      </c>
      <c r="K83" s="142">
        <v>55923.97000000003</v>
      </c>
      <c r="L83" s="256">
        <f>'[5]УК+ООО'!$K$102</f>
        <v>223294.82</v>
      </c>
      <c r="M83" s="256">
        <f>'[5]УК+ООО'!$N$102</f>
        <v>189544.75</v>
      </c>
      <c r="N83" s="256">
        <v>0</v>
      </c>
      <c r="O83" s="258">
        <f t="shared" si="11"/>
        <v>89674.04000000004</v>
      </c>
      <c r="P83" s="86"/>
      <c r="Q83" s="254">
        <v>831.29</v>
      </c>
      <c r="R83" s="254">
        <f>11738.56+3325.16+3537.5</f>
        <v>18601.22</v>
      </c>
      <c r="S83" s="254">
        <f>11738.56+3879.35+3187.5</f>
        <v>18805.41</v>
      </c>
      <c r="T83" s="254">
        <f t="shared" si="15"/>
        <v>627.1000000000022</v>
      </c>
      <c r="U83" s="15">
        <f>'[2]тариф начисл. 2019 с янв'!$P$90</f>
        <v>748.61</v>
      </c>
      <c r="V83" s="15">
        <f>'[2]тариф начисл. 2019 с янв'!$O$90+'[2]авг'!$F$90</f>
        <v>10959.01</v>
      </c>
      <c r="W83" s="15">
        <f>'[2]тариф начисл. 2019 с янв'!$N$90</f>
        <v>65342.78</v>
      </c>
      <c r="X83" s="15"/>
      <c r="Y83" s="15"/>
      <c r="Z83" s="15">
        <f>'[2]тариф начисл. 2019 с янв'!$AC$90</f>
        <v>106.94</v>
      </c>
      <c r="AA83" s="15">
        <f>'[2]тариф начисл. 2019 с янв'!$AD$90+'[2]тариф начисл. 2019 с янв'!$AE$90</f>
        <v>10052.74</v>
      </c>
      <c r="AB83" s="15">
        <f>'[2]тариф начисл. 2019 с янв'!$AA$90</f>
        <v>427.78</v>
      </c>
      <c r="AC83" s="15">
        <f>'[2]тариф начисл. 2019 с янв'!$AB$90+'[3]год'!$F$90</f>
        <v>636.5899999999999</v>
      </c>
      <c r="AD83" s="15">
        <f>'[2]тариф начисл. 2019 с янв'!$Z$90</f>
        <v>9411.07</v>
      </c>
      <c r="AE83" s="15">
        <f>'[2]тариф начисл. 2019 с янв'!$V$90</f>
        <v>34649.86</v>
      </c>
      <c r="AF83" s="15"/>
      <c r="AG83" s="15">
        <f>'[2]тариф начисл. 2019 с янв'!$BA$90</f>
        <v>15399.94</v>
      </c>
      <c r="AH83" s="16">
        <f t="shared" si="16"/>
        <v>147735.32</v>
      </c>
      <c r="AI83" s="261">
        <f>'[4]тариф начисл. 2021 с янв'!$AJ$89+'[4]год'!$R$89</f>
        <v>33259.58</v>
      </c>
      <c r="AJ83" s="261">
        <f>'[2]тариф начисл. 2019 с янв'!$AO$90</f>
        <v>17431.87</v>
      </c>
      <c r="AK83" s="261">
        <f>'[2]тариф начисл. 2019 с янв'!$AS$90</f>
        <v>10159.68</v>
      </c>
      <c r="AL83" s="261">
        <f>'[2]тариф начисл. 2019 с янв'!$AW$90</f>
        <v>8983.3</v>
      </c>
      <c r="AM83" s="261">
        <f>'[2]тариф начисл. 2019 с янв'!$AZ$90</f>
        <v>15613.82</v>
      </c>
      <c r="AN83" s="16">
        <f t="shared" si="12"/>
        <v>85448.25</v>
      </c>
      <c r="AO83" s="16">
        <f t="shared" si="8"/>
        <v>233183.57</v>
      </c>
      <c r="AP83" s="251">
        <f t="shared" si="13"/>
        <v>24833.410000000007</v>
      </c>
      <c r="AQ83" s="22">
        <f t="shared" si="14"/>
        <v>208350.16</v>
      </c>
    </row>
    <row r="84" spans="1:43" ht="14.25" customHeight="1">
      <c r="A84" s="4">
        <v>104</v>
      </c>
      <c r="B84" s="21">
        <v>99</v>
      </c>
      <c r="C84" s="144">
        <v>79</v>
      </c>
      <c r="D84" s="84" t="s">
        <v>14</v>
      </c>
      <c r="E84" s="73" t="s">
        <v>31</v>
      </c>
      <c r="F84" s="74" t="s">
        <v>32</v>
      </c>
      <c r="G84" s="73">
        <v>1956</v>
      </c>
      <c r="H84" s="68">
        <f>'[1]тариф начисл. 2018 с янв'!$I$90</f>
        <v>614.3</v>
      </c>
      <c r="I84" s="75" t="s">
        <v>40</v>
      </c>
      <c r="J84" s="75">
        <v>17.64</v>
      </c>
      <c r="K84" s="142">
        <v>143483.37</v>
      </c>
      <c r="L84" s="256">
        <f>'[5]УК+ООО'!$K$106</f>
        <v>130035.12</v>
      </c>
      <c r="M84" s="256">
        <f>'[5]УК+ООО'!$N$106</f>
        <v>109904.07</v>
      </c>
      <c r="N84" s="256">
        <v>0</v>
      </c>
      <c r="O84" s="258">
        <f t="shared" si="11"/>
        <v>163614.41999999998</v>
      </c>
      <c r="P84" s="86"/>
      <c r="Q84" s="254">
        <v>0</v>
      </c>
      <c r="R84" s="254">
        <v>3537.5</v>
      </c>
      <c r="S84" s="254">
        <v>3187.5</v>
      </c>
      <c r="T84" s="254">
        <f t="shared" si="15"/>
        <v>350</v>
      </c>
      <c r="U84" s="15">
        <f>'[2]тариф начисл. 2019 с янв'!$P$92</f>
        <v>516.01</v>
      </c>
      <c r="V84" s="15">
        <f>'[2]тариф начисл. 2019 с янв'!$O$92+'[2]авг'!$F$92</f>
        <v>26415.29</v>
      </c>
      <c r="W84" s="15">
        <f>'[2]тариф начисл. 2019 с янв'!$N$92</f>
        <v>45040.48</v>
      </c>
      <c r="X84" s="15"/>
      <c r="Y84" s="15"/>
      <c r="Z84" s="15">
        <f>'[2]тариф начисл. 2019 с янв'!$AC$92</f>
        <v>73.72</v>
      </c>
      <c r="AA84" s="15">
        <f>'[2]тариф начисл. 2019 с янв'!$AD$92+'[2]тариф начисл. 2019 с янв'!$AE$92</f>
        <v>6929.3</v>
      </c>
      <c r="AB84" s="15">
        <f>'[2]тариф начисл. 2019 с янв'!$AA$92</f>
        <v>294.86</v>
      </c>
      <c r="AC84" s="15">
        <f>'[3]тариф начисл. 2020 с янв'!$AB$92+'[3]год'!$F$92</f>
        <v>1663.25</v>
      </c>
      <c r="AD84" s="15">
        <f>'[2]тариф начисл. 2019 с янв'!$Z$92</f>
        <v>6487.01</v>
      </c>
      <c r="AE84" s="15">
        <f>'[4]тариф начисл. 2021 с янв'!$V$90</f>
        <v>0</v>
      </c>
      <c r="AF84" s="15"/>
      <c r="AG84" s="15">
        <f>'[2]тариф начисл. 2019 с янв'!$BA$92</f>
        <v>10615.1</v>
      </c>
      <c r="AH84" s="16">
        <f t="shared" si="16"/>
        <v>98035.02</v>
      </c>
      <c r="AI84" s="261">
        <f>'[2]тариф начисл. 2019 с янв'!$AJ$92</f>
        <v>22925.68</v>
      </c>
      <c r="AJ84" s="261">
        <f>'[2]тариф начисл. 2019 с янв'!$AO$92</f>
        <v>12015.71</v>
      </c>
      <c r="AK84" s="261">
        <f>'[2]тариф начисл. 2019 с янв'!$AS$92</f>
        <v>7003.02</v>
      </c>
      <c r="AL84" s="261">
        <f>'[2]тариф начисл. 2019 с янв'!$AW$92</f>
        <v>6192.14</v>
      </c>
      <c r="AM84" s="261">
        <f>'[2]тариф начисл. 2019 с янв'!$AZ$92</f>
        <v>10762.54</v>
      </c>
      <c r="AN84" s="16">
        <f t="shared" si="12"/>
        <v>58899.090000000004</v>
      </c>
      <c r="AO84" s="16">
        <f t="shared" si="8"/>
        <v>156934.11000000002</v>
      </c>
      <c r="AP84" s="250">
        <f t="shared" si="13"/>
        <v>43842.54000000001</v>
      </c>
      <c r="AQ84" s="22">
        <f t="shared" si="14"/>
        <v>113091.57</v>
      </c>
    </row>
    <row r="85" spans="1:43" ht="17.25" customHeight="1">
      <c r="A85" s="4">
        <v>106</v>
      </c>
      <c r="B85" s="20">
        <v>100</v>
      </c>
      <c r="C85" s="20"/>
      <c r="D85" s="76"/>
      <c r="E85" s="76"/>
      <c r="F85" s="76"/>
      <c r="G85" s="76"/>
      <c r="H85" s="76"/>
      <c r="I85" s="77"/>
      <c r="J85" s="77"/>
      <c r="K85" s="143"/>
      <c r="L85" s="70"/>
      <c r="M85" s="70"/>
      <c r="N85" s="70"/>
      <c r="O85" s="70"/>
      <c r="P85" s="70"/>
      <c r="Q85" s="24"/>
      <c r="R85" s="24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6"/>
      <c r="AI85" s="17"/>
      <c r="AJ85" s="17"/>
      <c r="AK85" s="17"/>
      <c r="AL85" s="17"/>
      <c r="AM85" s="17"/>
      <c r="AN85" s="16"/>
      <c r="AO85" s="16"/>
      <c r="AP85" s="4"/>
      <c r="AQ85" s="22"/>
    </row>
    <row r="86" spans="1:43" ht="12.75">
      <c r="A86" s="4"/>
      <c r="B86" s="4"/>
      <c r="C86" s="4"/>
      <c r="D86" s="28" t="s">
        <v>41</v>
      </c>
      <c r="E86" s="76"/>
      <c r="F86" s="76"/>
      <c r="G86" s="76"/>
      <c r="H86" s="78">
        <f>SUM(H4:H85)</f>
        <v>244883.69999999998</v>
      </c>
      <c r="I86" s="78"/>
      <c r="J86" s="76"/>
      <c r="K86" s="137">
        <f>SUM(K4:K85)</f>
        <v>18083557.81</v>
      </c>
      <c r="L86" s="33">
        <f>SUM(L4:L85)</f>
        <v>61242238.07999998</v>
      </c>
      <c r="M86" s="33">
        <f>SUM(M4:M85)</f>
        <v>59854703.470000006</v>
      </c>
      <c r="N86" s="33">
        <f>SUM(N5:N85)</f>
        <v>0</v>
      </c>
      <c r="O86" s="33">
        <f aca="true" t="shared" si="17" ref="O86:Y86">SUM(O4:O85)</f>
        <v>19471092.409999996</v>
      </c>
      <c r="P86" s="33">
        <f t="shared" si="17"/>
        <v>0</v>
      </c>
      <c r="Q86" s="23">
        <f t="shared" si="17"/>
        <v>533334.53</v>
      </c>
      <c r="R86" s="23">
        <f t="shared" si="17"/>
        <v>4182920.8200000003</v>
      </c>
      <c r="S86" s="23">
        <f t="shared" si="17"/>
        <v>3937003.040000001</v>
      </c>
      <c r="T86" s="23">
        <f t="shared" si="17"/>
        <v>779252.3100000003</v>
      </c>
      <c r="U86" s="203">
        <f t="shared" si="17"/>
        <v>199560.98</v>
      </c>
      <c r="V86" s="203">
        <f t="shared" si="17"/>
        <v>2726098.3500000015</v>
      </c>
      <c r="W86" s="203">
        <f t="shared" si="17"/>
        <v>16968945.1</v>
      </c>
      <c r="X86" s="205">
        <f t="shared" si="17"/>
        <v>369322.01</v>
      </c>
      <c r="Y86" s="203">
        <f t="shared" si="17"/>
        <v>4002336.51</v>
      </c>
      <c r="Z86" s="203">
        <f aca="true" t="shared" si="18" ref="Z86:AK86">SUM(Z4:Z85)</f>
        <v>28508.690000000002</v>
      </c>
      <c r="AA86" s="34">
        <f t="shared" si="18"/>
        <v>2706534.18</v>
      </c>
      <c r="AB86" s="203">
        <f>SUM(AB4:AB85)</f>
        <v>114034.87000000005</v>
      </c>
      <c r="AC86" s="205">
        <f t="shared" si="18"/>
        <v>206573.88000000006</v>
      </c>
      <c r="AD86" s="203">
        <f t="shared" si="18"/>
        <v>2740281.07</v>
      </c>
      <c r="AE86" s="34">
        <f t="shared" si="18"/>
        <v>9533680.979999999</v>
      </c>
      <c r="AF86" s="203">
        <f t="shared" si="18"/>
        <v>0</v>
      </c>
      <c r="AG86" s="203">
        <f t="shared" si="18"/>
        <v>4122757.6500000004</v>
      </c>
      <c r="AH86" s="23">
        <f t="shared" si="18"/>
        <v>43718634.27000002</v>
      </c>
      <c r="AI86" s="206">
        <f t="shared" si="18"/>
        <v>9234315.549999995</v>
      </c>
      <c r="AJ86" s="206">
        <f>SUM(AJ4:AJ85)</f>
        <v>4764996.890000001</v>
      </c>
      <c r="AK86" s="35">
        <f t="shared" si="18"/>
        <v>3919444.2199999993</v>
      </c>
      <c r="AL86" s="35">
        <f>SUM(AL4:AL85)</f>
        <v>2723326.999999999</v>
      </c>
      <c r="AM86" s="206">
        <f>SUM(AM4:AM85)</f>
        <v>4211005.339999998</v>
      </c>
      <c r="AN86" s="23">
        <f>SUM(AN4:AN85)</f>
        <v>24853089.000000007</v>
      </c>
      <c r="AO86" s="23">
        <f>SUM(AO4:AO85)</f>
        <v>68571723.27</v>
      </c>
      <c r="AP86" s="127">
        <f>SUM(AP4:AP85)</f>
        <v>4780016.76</v>
      </c>
      <c r="AQ86" s="22"/>
    </row>
    <row r="87" spans="1:43" ht="12.75">
      <c r="A87" s="4"/>
      <c r="B87" s="4"/>
      <c r="C87" s="4"/>
      <c r="D87" s="76"/>
      <c r="E87" s="76"/>
      <c r="F87" s="76"/>
      <c r="G87" s="76"/>
      <c r="H87" s="76"/>
      <c r="I87" s="76"/>
      <c r="J87" s="76"/>
      <c r="K87" s="210">
        <f>'[5]УК+ООО'!$J$109</f>
        <v>18083557.780000005</v>
      </c>
      <c r="L87" s="211">
        <f>'[5]УК+ООО'!$K$109</f>
        <v>61242238.07999998</v>
      </c>
      <c r="M87" s="212">
        <f>'[5]УК+ООО'!$N$109</f>
        <v>59854703.47000002</v>
      </c>
      <c r="N87" s="212">
        <f>'[5]УК+ООО'!$L$109</f>
        <v>0</v>
      </c>
      <c r="O87" s="212">
        <f>'[5]УК+ООО'!$O$109</f>
        <v>19471092.410000004</v>
      </c>
      <c r="P87" s="212"/>
      <c r="Q87" s="131"/>
      <c r="R87" s="131"/>
      <c r="S87" s="131"/>
      <c r="T87" s="131"/>
      <c r="U87" s="204">
        <f>'[4]тариф начисл. 2021 с янв'!$P$91</f>
        <v>199561</v>
      </c>
      <c r="V87" s="204">
        <f>'[4]тариф начисл. 2021 с янв'!$O$91+'[4]авг'!$F$91</f>
        <v>2731721</v>
      </c>
      <c r="W87" s="204">
        <f>'[4]тариф начисл. 2021 с янв'!$N$91</f>
        <v>16968945</v>
      </c>
      <c r="X87" s="182">
        <f>'[4]тариф начисл. 2021 с янв'!$BC$91</f>
        <v>369322.01</v>
      </c>
      <c r="Y87" s="204">
        <f>'[4]тариф начисл. 2021 с янв'!$BE$91+'[4]год'!$Z$91</f>
        <v>4002337</v>
      </c>
      <c r="Z87" s="183">
        <f>'[4]тариф начисл. 2021 с янв'!$AC$91</f>
        <v>28509</v>
      </c>
      <c r="AA87" s="182">
        <f>'[4]тариф начисл. 2021 с янв'!$AD$91+'[4]тариф начисл. 2021 с янв'!$AE$91</f>
        <v>2706534</v>
      </c>
      <c r="AB87" s="182">
        <f>'[4]тариф начисл. 2021 с янв'!$AA$91</f>
        <v>114035</v>
      </c>
      <c r="AC87" s="182">
        <f>'[4]тариф начисл. 2021 с янв'!$AB$91</f>
        <v>85526</v>
      </c>
      <c r="AD87" s="182">
        <f>'[4]тариф начисл. 2021 с янв'!$Y$91</f>
        <v>2374468</v>
      </c>
      <c r="AE87" s="182">
        <f>'[4]тариф начисл. 2021 с янв'!$V$91</f>
        <v>9533681</v>
      </c>
      <c r="AF87" s="204"/>
      <c r="AG87" s="182">
        <f>'[4]тариф начисл. 2021 с янв'!$BA$91</f>
        <v>4122758</v>
      </c>
      <c r="AH87" s="16"/>
      <c r="AI87" s="262">
        <f>'[4]тариф начисл. 2021 с янв'!$AJ$91+'[4]год'!$R$91</f>
        <v>9226315.5</v>
      </c>
      <c r="AJ87" s="184">
        <f>'[4]тариф начисл. 2021 с янв'!$AO$91</f>
        <v>4652983</v>
      </c>
      <c r="AK87" s="185">
        <f>'[4]тариф начисл. 2021 с янв'!$AS$91</f>
        <v>3584444</v>
      </c>
      <c r="AL87" s="184">
        <f>'[4]тариф начисл. 2021 с янв'!$AW$91</f>
        <v>2469327</v>
      </c>
      <c r="AM87" s="184">
        <f>'[4]тариф начисл. 2021 с янв'!$AZ$91</f>
        <v>4180005</v>
      </c>
      <c r="AN87" s="16"/>
      <c r="AO87" s="131"/>
      <c r="AP87" s="127"/>
      <c r="AQ87" s="22"/>
    </row>
    <row r="88" spans="1:41" ht="15">
      <c r="A88" s="29"/>
      <c r="B88" s="29"/>
      <c r="C88" s="29"/>
      <c r="D88" s="79"/>
      <c r="E88" s="79"/>
      <c r="F88" s="79"/>
      <c r="G88" s="79"/>
      <c r="H88" s="79"/>
      <c r="I88" s="80"/>
      <c r="J88" s="79"/>
      <c r="K88" s="79"/>
      <c r="L88" s="91"/>
      <c r="M88" s="91"/>
      <c r="N88" s="91"/>
      <c r="O88" s="91"/>
      <c r="P88" s="91"/>
      <c r="Q88" s="91"/>
      <c r="R88" s="126"/>
      <c r="S88" s="126"/>
      <c r="T88" s="126"/>
      <c r="U88" s="126"/>
      <c r="V88" s="126">
        <f>V86-V87</f>
        <v>-5622.64999999851</v>
      </c>
      <c r="W88" s="126"/>
      <c r="X88" s="136"/>
      <c r="Y88" s="136"/>
      <c r="Z88" s="29"/>
      <c r="AA88" s="126">
        <f>AA86-AA87</f>
        <v>0.18000000016763806</v>
      </c>
      <c r="AB88" s="136"/>
      <c r="AC88" s="136">
        <f>AC86-AC87</f>
        <v>121047.88000000006</v>
      </c>
      <c r="AD88" s="136"/>
      <c r="AE88" s="136"/>
      <c r="AF88" s="126"/>
      <c r="AG88" s="136"/>
      <c r="AH88" s="180"/>
      <c r="AI88" s="202"/>
      <c r="AJ88" s="152"/>
      <c r="AK88" s="264"/>
      <c r="AL88" s="265"/>
      <c r="AM88" s="146"/>
      <c r="AN88" s="180"/>
      <c r="AO88" s="180"/>
    </row>
    <row r="89" spans="1:41" ht="12.75">
      <c r="A89" s="4"/>
      <c r="B89" s="4"/>
      <c r="C89" s="4"/>
      <c r="D89" s="81"/>
      <c r="E89" s="81"/>
      <c r="F89" s="81"/>
      <c r="G89" s="81"/>
      <c r="H89" s="81"/>
      <c r="I89" s="82"/>
      <c r="J89" s="81"/>
      <c r="K89" s="81"/>
      <c r="L89" s="90"/>
      <c r="M89" s="128"/>
      <c r="N89" s="128"/>
      <c r="O89" s="90"/>
      <c r="P89" s="90"/>
      <c r="Q89" s="90"/>
      <c r="R89" s="127"/>
      <c r="S89" s="127"/>
      <c r="T89" s="127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181"/>
      <c r="AI89" s="4"/>
      <c r="AJ89" s="4"/>
      <c r="AK89" s="4"/>
      <c r="AL89" s="4"/>
      <c r="AM89" s="4"/>
      <c r="AN89" s="181"/>
      <c r="AO89" s="181"/>
    </row>
    <row r="90" spans="1:41" ht="12.75">
      <c r="A90" s="109"/>
      <c r="B90" s="109"/>
      <c r="C90" s="109"/>
      <c r="D90" s="132"/>
      <c r="E90" s="132"/>
      <c r="F90" s="132"/>
      <c r="G90" s="132"/>
      <c r="H90" s="132"/>
      <c r="I90" s="133"/>
      <c r="J90" s="132"/>
      <c r="K90" s="132"/>
      <c r="L90" s="134"/>
      <c r="M90" s="135"/>
      <c r="N90" s="135"/>
      <c r="O90" s="134"/>
      <c r="P90" s="134"/>
      <c r="Q90" s="134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79"/>
      <c r="AI90" s="109"/>
      <c r="AJ90" s="109"/>
      <c r="AK90" s="109"/>
      <c r="AL90" s="109"/>
      <c r="AM90" s="109"/>
      <c r="AN90" s="179"/>
      <c r="AO90" s="179"/>
    </row>
    <row r="91" spans="1:41" ht="12.75">
      <c r="A91" s="109"/>
      <c r="B91" s="109"/>
      <c r="C91" s="109"/>
      <c r="D91" s="132"/>
      <c r="E91" s="132"/>
      <c r="F91" s="132"/>
      <c r="G91" s="132"/>
      <c r="H91" s="132"/>
      <c r="I91" s="133"/>
      <c r="J91" s="132"/>
      <c r="K91" s="132"/>
      <c r="L91" s="134"/>
      <c r="M91" s="135"/>
      <c r="N91" s="135"/>
      <c r="O91" s="134"/>
      <c r="P91" s="134"/>
      <c r="Q91" s="134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79"/>
      <c r="AI91" s="109"/>
      <c r="AJ91" s="109"/>
      <c r="AK91" s="109"/>
      <c r="AL91" s="109"/>
      <c r="AM91" s="109"/>
      <c r="AN91" s="179"/>
      <c r="AO91" s="179"/>
    </row>
    <row r="92" ht="12.75">
      <c r="T92" s="22"/>
    </row>
    <row r="94" ht="12.75">
      <c r="R94" s="22"/>
    </row>
  </sheetData>
  <sheetProtection/>
  <autoFilter ref="A3:AO86"/>
  <mergeCells count="1">
    <mergeCell ref="AK88:AL88"/>
  </mergeCells>
  <hyperlinks>
    <hyperlink ref="D4" location="'1.  Анкудинова 1 '!A1" display="Анкудинова"/>
    <hyperlink ref="D5" location="'2.  Анкудинова 3'!A1" display="Анкудинова"/>
    <hyperlink ref="D6" location="'3.  Анкудинова 5'!A1" display="Анкудинова"/>
    <hyperlink ref="D7" location="'4.  Анкудинова 7'!A1" display="Анкудинова"/>
    <hyperlink ref="D8" location="'5.  Анкудинова 9'!A1" display="Анкудинова"/>
    <hyperlink ref="D9" location="'6.  Анкудинова 11'!A1" display="Анкудинова"/>
    <hyperlink ref="D10" location="'7.  Анкудинова 13'!A1" display="Анкудинова"/>
    <hyperlink ref="D11" location="'9.  Анкудинова 17'!A1" display="Анкудинова"/>
    <hyperlink ref="D12" location="'12.  Анкудинова  11А '!A1" display="Анкудинова"/>
    <hyperlink ref="D13" location="'13.  Анкудинова 17А '!A1" display="Анкудинова"/>
    <hyperlink ref="D14" location="'10.  Анкудинова 3Б'!A1" display="Анкудинова"/>
    <hyperlink ref="D15" location="'11.  Анкудинова 5А'!A1" display="Анкудинова"/>
    <hyperlink ref="D23" location="'19. Горького 20'!A1" display="Горького"/>
    <hyperlink ref="D24" location="'20. Горького 22'!A1" display="Горького"/>
    <hyperlink ref="D25" location="'21. Горького 14А'!A1" display="Горького"/>
    <hyperlink ref="D29" location="'23. Комсомольская 165'!A1" display="Комсомольская"/>
    <hyperlink ref="D30" location="'24. Комсомольская 167'!A1" display="Комсомольская"/>
    <hyperlink ref="D31" location="'25. Комсомольская 169'!A1" display="Комсомольская"/>
    <hyperlink ref="D32" location="'28.  Комсомольская 191'!A1" display="Комсомольская"/>
    <hyperlink ref="D33" location="'29.  Комсомольская 193'!A1" display="Комсомольская"/>
    <hyperlink ref="D34" location="'30.  Комсомольская 195'!A1" display="Комсомольская"/>
    <hyperlink ref="D35" location="'32. Комсомольская 167А'!A1" display="Комсомольская"/>
    <hyperlink ref="D36" location="'35.  пр.Мира 157'!A1" display="Мира"/>
    <hyperlink ref="D37" location="'36.  пр .Мира 161'!A1" display="Мира"/>
    <hyperlink ref="D38" location="'37.  пр.Мира 163'!A1" display="Мира"/>
    <hyperlink ref="D40" location="'39.  пр.Мира 163А '!A1" display="Мира"/>
    <hyperlink ref="D41" location="'40. Победы 4 '!A1" display="Победы"/>
    <hyperlink ref="D42" location="'41. Победы 6'!A1" display="Победы"/>
    <hyperlink ref="D46" location="'43. Победы 8'!A1" display="Победы"/>
    <hyperlink ref="D47" location="'44. Победы 10'!A1" display="Победы"/>
    <hyperlink ref="D49" location="'46. Победы 12'!A1" display="Победы"/>
    <hyperlink ref="D50" location="'47. Победы 14'!A1" display="Победы"/>
    <hyperlink ref="D51" location="'48. Победы 16'!A1" display="Победы"/>
    <hyperlink ref="D52" location="'49. Победы 18'!A1" display="Победы"/>
    <hyperlink ref="D53" location="'50. Победы 26'!A1" display="Победы"/>
    <hyperlink ref="D55" location="'52.  пр.Победы 50'!A1" display="Победы"/>
    <hyperlink ref="D56" location="'54.  пр.Победы 12А '!A1" display="Победы"/>
    <hyperlink ref="D57" location="'62.  Поповича 14'!A1" display="Поповича"/>
    <hyperlink ref="D59" location="'71.  Поповича 43'!A1" display="Поповича"/>
    <hyperlink ref="D60" location="'72.  Поповича 45'!A1" display="Поповича"/>
    <hyperlink ref="D61" location="'73.  Поповича 47'!A1" display="Поповича"/>
    <hyperlink ref="D62" location="'80.  Поповича 18А'!A1" display="Поповича"/>
    <hyperlink ref="D63" location="'87.  Поповича 20А'!A1" display="Поповича"/>
    <hyperlink ref="D66" location="'96.  Поповича 45А'!A1" display="Поповича"/>
    <hyperlink ref="D67" location="'68.  Поповича 25 '!A1" display="Поповича           "/>
    <hyperlink ref="D68" location="'95.  Поповича 43А'!A1" display="Поповича              "/>
    <hyperlink ref="D64" location="'91.  Поповича 22А'!A1" display="Поповича               "/>
    <hyperlink ref="D65" location="'94.  Поповича 24А'!A1" display="Поповича               "/>
    <hyperlink ref="D78" location="'98.  Физкультурная 122'!A1" display="Физкультурная"/>
    <hyperlink ref="D79" location="'99.  Физкультурная 124'!A1" display="Физкультурная"/>
    <hyperlink ref="D80" location="'100.  Физкультурная 126'!A1" display="Физкультурная"/>
    <hyperlink ref="D81" location="'101.  Физкультурная 128'!A1" display="Физкультурная"/>
    <hyperlink ref="D82" location="'102.  Физкультурная 130'!A1" display="Физкультурная"/>
    <hyperlink ref="D83" location="'103.  Физкультурная 124А'!A1" display="Физкультурная"/>
    <hyperlink ref="D84" location="'106.  Физкультурная 126Б'!A1" display="Физкультурная"/>
    <hyperlink ref="D26" location="'Горького 20А'!R1C1" display="Горького"/>
    <hyperlink ref="D54" location="'51. Победы 48'!A1" display="Победы"/>
    <hyperlink ref="D45" location="'42. Победы 6-Б'!A1" display="Победы"/>
    <hyperlink ref="D39" location="'38. Мира 161-А'!A1" display="Мира"/>
    <hyperlink ref="D17" location="'15. Горького 12'!A1" display="Горького"/>
    <hyperlink ref="D48" location="'45. Победы 10-Б'!A1" display="Победы"/>
    <hyperlink ref="D16" location="'14. Тихоокеанская 27'!A1" display="Тихоокеанская"/>
    <hyperlink ref="D43" location="'Победы 6А -2'!R1C1" display="Победы"/>
    <hyperlink ref="D27" location="'Дзержинского 12'!A1" display="Дзержинского"/>
    <hyperlink ref="D69" location="'Невельского 4'!R1C1" display="Невельского"/>
    <hyperlink ref="D44" location="'42. Победы 6-А-1'!A1" display="Победы"/>
    <hyperlink ref="D22" location="'18. Горького 18 а'!R1C1" display="Горького"/>
    <hyperlink ref="D21" location="'18. Горького 18'!A1" display="Горького"/>
    <hyperlink ref="D20" location="'17. Горького 16'!A1" display="Горького"/>
    <hyperlink ref="D19" location="'16. Горького 14'!A1" display="Горького"/>
    <hyperlink ref="D18" location="'16. Горького 11б'!A1" display="Горького"/>
    <hyperlink ref="D71" location="'Невелская 14-2'!A1" display="Невельского"/>
    <hyperlink ref="D75" location="'Фабричная 14А'!R1C1" display="Фабричная"/>
    <hyperlink ref="D74" location="'Сахалинская 13'!R1C1" display="Сахалинская "/>
    <hyperlink ref="D77" location="'98.  Физкультурная 120'!R1C1" display="Физкультурная"/>
    <hyperlink ref="D70" location="'Невелская 14-1'!A1" display="Невельская "/>
    <hyperlink ref="D72" location="'Озерная 2а'!A1" display="Озерная"/>
    <hyperlink ref="D58" location="'Поповича 21'!A1" display="Поповича"/>
    <hyperlink ref="D73" location="'Озерная 2б'!A1" display="Озерная"/>
    <hyperlink ref="D28" location="'Дзержинского 12а'!A1" display="Дзержинского"/>
    <hyperlink ref="D76" location="'Емельянова 43'!A1" display="'Емельянова 43'!A1"/>
  </hyperlinks>
  <printOptions/>
  <pageMargins left="0.2" right="0.19" top="0.17" bottom="0.28" header="0.17" footer="0.17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352</v>
      </c>
      <c r="C3" s="269"/>
      <c r="D3" s="269"/>
    </row>
    <row r="4" spans="2:5" ht="15.75" thickBot="1">
      <c r="B4" s="57" t="s">
        <v>218</v>
      </c>
      <c r="C4" s="224">
        <f>'Свод 2021'!H12</f>
        <v>2711.4</v>
      </c>
      <c r="D4" s="215">
        <f>'Свод 2021'!J12</f>
        <v>20.88</v>
      </c>
      <c r="E4" s="22"/>
    </row>
    <row r="5" spans="2:5" ht="31.5" customHeight="1" thickBot="1">
      <c r="B5" s="36" t="s">
        <v>54</v>
      </c>
      <c r="C5" s="275" t="s">
        <v>150</v>
      </c>
      <c r="D5" s="276"/>
      <c r="E5" s="22">
        <f>'Свод 2021'!H12</f>
        <v>2711.4</v>
      </c>
    </row>
    <row r="6" spans="2:4" ht="30">
      <c r="B6" s="178" t="s">
        <v>338</v>
      </c>
      <c r="C6" s="277">
        <f>'Свод 2021'!K12</f>
        <v>82657.82999999984</v>
      </c>
      <c r="D6" s="278"/>
    </row>
    <row r="7" spans="2:4" ht="15">
      <c r="B7" s="40" t="s">
        <v>339</v>
      </c>
      <c r="C7" s="266">
        <f>'Свод 2021'!L12</f>
        <v>679368.6</v>
      </c>
      <c r="D7" s="267"/>
    </row>
    <row r="8" spans="2:4" ht="15">
      <c r="B8" s="40" t="s">
        <v>340</v>
      </c>
      <c r="C8" s="266">
        <f>'Свод 2021'!M12</f>
        <v>644002.27</v>
      </c>
      <c r="D8" s="267"/>
    </row>
    <row r="9" spans="2:4" ht="15">
      <c r="B9" s="40" t="s">
        <v>127</v>
      </c>
      <c r="C9" s="266">
        <f>'Свод 2021'!N12</f>
        <v>0</v>
      </c>
      <c r="D9" s="267"/>
    </row>
    <row r="10" spans="2:6" ht="28.5">
      <c r="B10" s="41" t="s">
        <v>147</v>
      </c>
      <c r="C10" s="279">
        <f>C6+C7-C8-C9</f>
        <v>118024.1599999998</v>
      </c>
      <c r="D10" s="280"/>
      <c r="E10" s="22">
        <f>'Свод 2021'!O12</f>
        <v>118024.1599999998</v>
      </c>
      <c r="F10" s="125"/>
    </row>
    <row r="11" spans="2:4" ht="30">
      <c r="B11" s="178" t="s">
        <v>323</v>
      </c>
      <c r="C11" s="266">
        <f>'Свод 2021'!Q12</f>
        <v>2501.87</v>
      </c>
      <c r="D11" s="267"/>
    </row>
    <row r="12" spans="2:4" ht="15">
      <c r="B12" s="40" t="s">
        <v>342</v>
      </c>
      <c r="C12" s="266">
        <f>'Свод 2021'!R12</f>
        <v>7912.040000000001</v>
      </c>
      <c r="D12" s="267"/>
    </row>
    <row r="13" spans="2:4" ht="15">
      <c r="B13" s="40" t="s">
        <v>343</v>
      </c>
      <c r="C13" s="266">
        <f>'Свод 2021'!S12</f>
        <v>10431.99</v>
      </c>
      <c r="D13" s="267"/>
    </row>
    <row r="14" spans="2:6" ht="28.5">
      <c r="B14" s="41" t="s">
        <v>151</v>
      </c>
      <c r="C14" s="279">
        <f>C11+C12-C13</f>
        <v>-18.079999999999927</v>
      </c>
      <c r="D14" s="280"/>
      <c r="E14" s="22">
        <f>'Свод 2021'!T12</f>
        <v>-18.079999999999927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2021'!W12</f>
        <v>198799.85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2021'!U12</f>
        <v>2277.58</v>
      </c>
    </row>
    <row r="22" spans="2:4" ht="15">
      <c r="B22" s="46" t="s">
        <v>134</v>
      </c>
      <c r="C22" s="47" t="s">
        <v>60</v>
      </c>
      <c r="D22" s="48">
        <f>'Свод 2021'!V12</f>
        <v>56590.159999999996</v>
      </c>
    </row>
    <row r="23" spans="2:4" ht="30">
      <c r="B23" s="46" t="s">
        <v>161</v>
      </c>
      <c r="C23" s="94" t="s">
        <v>138</v>
      </c>
      <c r="D23" s="48">
        <f>'Свод 2021'!AA12+'Свод 2021'!Z12</f>
        <v>30909.969999999998</v>
      </c>
    </row>
    <row r="24" spans="2:4" ht="28.5" customHeight="1">
      <c r="B24" s="124" t="s">
        <v>141</v>
      </c>
      <c r="C24" s="49" t="s">
        <v>140</v>
      </c>
      <c r="D24" s="207">
        <f>'Свод 2021'!AC12</f>
        <v>1945.56</v>
      </c>
    </row>
    <row r="25" spans="2:4" ht="28.5" customHeight="1">
      <c r="B25" s="154" t="s">
        <v>142</v>
      </c>
      <c r="C25" s="98" t="s">
        <v>143</v>
      </c>
      <c r="D25" s="213">
        <f>'Свод 2021'!AB12</f>
        <v>1301.47</v>
      </c>
    </row>
    <row r="26" spans="2:4" ht="21.75" customHeight="1">
      <c r="B26" s="200" t="s">
        <v>153</v>
      </c>
      <c r="C26" s="47" t="s">
        <v>59</v>
      </c>
      <c r="D26" s="201">
        <f>'Свод 2021'!AD12</f>
        <v>28632.38</v>
      </c>
    </row>
    <row r="27" spans="2:4" ht="30.75" customHeight="1">
      <c r="B27" s="105" t="s">
        <v>144</v>
      </c>
      <c r="C27" s="164" t="s">
        <v>135</v>
      </c>
      <c r="D27" s="288">
        <f>'Свод 2021'!AE12</f>
        <v>105419.23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2021'!AG12</f>
        <v>46852.99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2021'!AI12</f>
        <v>101189.45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2021'!AK12</f>
        <v>30909.96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2021'!AL12</f>
        <v>27330.91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2021'!AM12</f>
        <v>47503.73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2021'!AJ12</f>
        <v>53034.98</v>
      </c>
      <c r="E42" s="22">
        <f>D43-C8-C13</f>
        <v>78263.95999999983</v>
      </c>
    </row>
    <row r="43" spans="2:5" ht="15" thickBot="1">
      <c r="B43" s="227" t="s">
        <v>252</v>
      </c>
      <c r="C43" s="228"/>
      <c r="D43" s="229">
        <f>SUM(D19:D42)</f>
        <v>732698.2199999999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1" right="0.18" top="0.28" bottom="0.19" header="0.1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353</v>
      </c>
      <c r="C3" s="269"/>
      <c r="D3" s="269"/>
    </row>
    <row r="4" spans="2:5" ht="15.75" thickBot="1">
      <c r="B4" s="57" t="s">
        <v>219</v>
      </c>
      <c r="C4" s="224">
        <f>'Свод 2021'!H13</f>
        <v>2741.2</v>
      </c>
      <c r="D4" s="215">
        <f>'Свод 2021'!J13</f>
        <v>22.28</v>
      </c>
      <c r="E4" s="22"/>
    </row>
    <row r="5" spans="2:5" ht="31.5" customHeight="1" thickBot="1">
      <c r="B5" s="36" t="s">
        <v>54</v>
      </c>
      <c r="C5" s="275" t="s">
        <v>150</v>
      </c>
      <c r="D5" s="276"/>
      <c r="E5" s="22">
        <f>'Свод 2021'!H13</f>
        <v>2741.2</v>
      </c>
    </row>
    <row r="6" spans="2:4" ht="30">
      <c r="B6" s="178" t="s">
        <v>338</v>
      </c>
      <c r="C6" s="277">
        <f>'Свод 2021'!K13</f>
        <v>190095.6</v>
      </c>
      <c r="D6" s="278"/>
    </row>
    <row r="7" spans="2:4" ht="15">
      <c r="B7" s="40" t="s">
        <v>339</v>
      </c>
      <c r="C7" s="266">
        <f>'Свод 2021'!L13</f>
        <v>732887.16</v>
      </c>
      <c r="D7" s="267"/>
    </row>
    <row r="8" spans="2:4" ht="15">
      <c r="B8" s="40" t="s">
        <v>340</v>
      </c>
      <c r="C8" s="266">
        <f>'Свод 2021'!M13</f>
        <v>677781.41</v>
      </c>
      <c r="D8" s="267"/>
    </row>
    <row r="9" spans="2:4" ht="15">
      <c r="B9" s="40" t="s">
        <v>127</v>
      </c>
      <c r="C9" s="266">
        <f>'Свод 2021'!N13</f>
        <v>0</v>
      </c>
      <c r="D9" s="267"/>
    </row>
    <row r="10" spans="2:6" ht="28.5">
      <c r="B10" s="41" t="s">
        <v>147</v>
      </c>
      <c r="C10" s="279">
        <f>C6+C7-C8-C9</f>
        <v>245201.34999999998</v>
      </c>
      <c r="D10" s="280"/>
      <c r="E10" s="22">
        <f>'Свод 2021'!O13</f>
        <v>245201.34999999998</v>
      </c>
      <c r="F10" s="125"/>
    </row>
    <row r="11" spans="2:4" ht="30">
      <c r="B11" s="178" t="s">
        <v>323</v>
      </c>
      <c r="C11" s="266">
        <f>'Свод 2021'!Q13</f>
        <v>2501.87</v>
      </c>
      <c r="D11" s="267"/>
    </row>
    <row r="12" spans="2:4" ht="15">
      <c r="B12" s="40" t="s">
        <v>342</v>
      </c>
      <c r="C12" s="266">
        <f>'Свод 2021'!R13</f>
        <v>7912.040000000001</v>
      </c>
      <c r="D12" s="267"/>
    </row>
    <row r="13" spans="2:4" ht="15">
      <c r="B13" s="40" t="s">
        <v>343</v>
      </c>
      <c r="C13" s="266">
        <f>'Свод 2021'!S13</f>
        <v>10431.99</v>
      </c>
      <c r="D13" s="267"/>
    </row>
    <row r="14" spans="2:6" ht="28.5">
      <c r="B14" s="41" t="s">
        <v>151</v>
      </c>
      <c r="C14" s="279">
        <f>C11+C12-C13</f>
        <v>-18.079999999999927</v>
      </c>
      <c r="D14" s="280"/>
      <c r="E14" s="22">
        <f>'Свод 2021'!T13</f>
        <v>-18.079999999999927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2021'!W13</f>
        <v>200984.78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2021'!U13</f>
        <v>2302.61</v>
      </c>
    </row>
    <row r="22" spans="2:4" ht="15">
      <c r="B22" s="46" t="s">
        <v>134</v>
      </c>
      <c r="C22" s="47" t="s">
        <v>60</v>
      </c>
      <c r="D22" s="48">
        <f>'Свод 2021'!V13</f>
        <v>41239.57000000001</v>
      </c>
    </row>
    <row r="23" spans="2:4" ht="30">
      <c r="B23" s="46" t="s">
        <v>161</v>
      </c>
      <c r="C23" s="94" t="s">
        <v>138</v>
      </c>
      <c r="D23" s="48">
        <f>'Свод 2021'!AA13+'Свод 2021'!Z13</f>
        <v>31249.68</v>
      </c>
    </row>
    <row r="24" spans="2:4" ht="28.5" customHeight="1">
      <c r="B24" s="124" t="s">
        <v>141</v>
      </c>
      <c r="C24" s="49" t="s">
        <v>140</v>
      </c>
      <c r="D24" s="207">
        <f>'Свод 2021'!AC13</f>
        <v>1852.99</v>
      </c>
    </row>
    <row r="25" spans="2:4" ht="28.5" customHeight="1">
      <c r="B25" s="154" t="s">
        <v>142</v>
      </c>
      <c r="C25" s="98" t="s">
        <v>143</v>
      </c>
      <c r="D25" s="213">
        <f>'Свод 2021'!AB13</f>
        <v>1315.78</v>
      </c>
    </row>
    <row r="26" spans="2:4" ht="21.75" customHeight="1">
      <c r="B26" s="200" t="s">
        <v>153</v>
      </c>
      <c r="C26" s="47" t="s">
        <v>59</v>
      </c>
      <c r="D26" s="201">
        <f>'Свод 2021'!AD13</f>
        <v>28947.07</v>
      </c>
    </row>
    <row r="27" spans="2:4" ht="30.75" customHeight="1">
      <c r="B27" s="105" t="s">
        <v>144</v>
      </c>
      <c r="C27" s="164" t="s">
        <v>135</v>
      </c>
      <c r="D27" s="288">
        <f>'Свод 2021'!AE13</f>
        <v>106577.86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2021'!AG13</f>
        <v>47367.94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2021'!AI13</f>
        <v>102301.58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2021'!AK13</f>
        <v>31249.68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2021'!AL13</f>
        <v>27960.24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2021'!AM13</f>
        <v>48025.82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2021'!AJ13</f>
        <v>53617.87</v>
      </c>
      <c r="E42" s="22">
        <f>D43-C8-C13</f>
        <v>36780.06999999994</v>
      </c>
    </row>
    <row r="43" spans="2:5" ht="15" thickBot="1">
      <c r="B43" s="227" t="s">
        <v>252</v>
      </c>
      <c r="C43" s="228"/>
      <c r="D43" s="229">
        <f>SUM(D19:D42)</f>
        <v>724993.47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9" top="0.17" bottom="0.17" header="0.1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354</v>
      </c>
      <c r="C3" s="269"/>
      <c r="D3" s="269"/>
    </row>
    <row r="4" spans="2:5" ht="15.75" thickBot="1">
      <c r="B4" s="57" t="s">
        <v>220</v>
      </c>
      <c r="C4" s="224">
        <f>'Свод 2021'!H14</f>
        <v>1843.3</v>
      </c>
      <c r="D4" s="215">
        <f>'Свод 2021'!J14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2021'!H14</f>
        <v>1843.3</v>
      </c>
      <c r="F5" s="22">
        <f>'Свод 2021'!J14</f>
        <v>21.73</v>
      </c>
    </row>
    <row r="6" spans="2:4" ht="30">
      <c r="B6" s="178" t="s">
        <v>338</v>
      </c>
      <c r="C6" s="277">
        <f>'Свод 2021'!K14</f>
        <v>36319.33999999991</v>
      </c>
      <c r="D6" s="278"/>
    </row>
    <row r="7" spans="2:4" ht="15">
      <c r="B7" s="40" t="s">
        <v>339</v>
      </c>
      <c r="C7" s="266">
        <f>'Свод 2021'!L14</f>
        <v>374868.84</v>
      </c>
      <c r="D7" s="267"/>
    </row>
    <row r="8" spans="2:4" ht="15">
      <c r="B8" s="40" t="s">
        <v>340</v>
      </c>
      <c r="C8" s="266">
        <f>'Свод 2021'!M14</f>
        <v>366839.08</v>
      </c>
      <c r="D8" s="267"/>
    </row>
    <row r="9" spans="2:4" ht="15">
      <c r="B9" s="40" t="s">
        <v>127</v>
      </c>
      <c r="C9" s="266">
        <f>'Свод 2021'!N14</f>
        <v>0</v>
      </c>
      <c r="D9" s="267"/>
    </row>
    <row r="10" spans="2:6" ht="28.5">
      <c r="B10" s="41" t="s">
        <v>147</v>
      </c>
      <c r="C10" s="279">
        <f>C6+C7-C8-C9</f>
        <v>44349.09999999992</v>
      </c>
      <c r="D10" s="280"/>
      <c r="E10" s="22">
        <f>'Свод 2021'!O14</f>
        <v>44349.09999999992</v>
      </c>
      <c r="F10" s="125"/>
    </row>
    <row r="11" spans="2:4" ht="30">
      <c r="B11" s="178" t="s">
        <v>323</v>
      </c>
      <c r="C11" s="266">
        <f>'Свод 2021'!Q14</f>
        <v>69579.44</v>
      </c>
      <c r="D11" s="267"/>
    </row>
    <row r="12" spans="2:4" ht="15">
      <c r="B12" s="40" t="s">
        <v>342</v>
      </c>
      <c r="C12" s="266">
        <f>'Свод 2021'!R14</f>
        <v>124518.78</v>
      </c>
      <c r="D12" s="267"/>
    </row>
    <row r="13" spans="2:4" ht="15">
      <c r="B13" s="40" t="s">
        <v>343</v>
      </c>
      <c r="C13" s="266">
        <f>'Свод 2021'!S14</f>
        <v>26963.63</v>
      </c>
      <c r="D13" s="267"/>
    </row>
    <row r="14" spans="2:6" ht="28.5">
      <c r="B14" s="41" t="s">
        <v>151</v>
      </c>
      <c r="C14" s="279">
        <f>C11+C12-C13</f>
        <v>167134.59</v>
      </c>
      <c r="D14" s="280"/>
      <c r="E14" s="22">
        <f>'Свод 2021'!T14</f>
        <v>167134.59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2021'!W14</f>
        <v>135150.76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2021'!U14</f>
        <v>1548.37</v>
      </c>
    </row>
    <row r="22" spans="2:4" ht="15">
      <c r="B22" s="46" t="s">
        <v>134</v>
      </c>
      <c r="C22" s="47" t="s">
        <v>60</v>
      </c>
      <c r="D22" s="48">
        <f>'Свод 2021'!V14</f>
        <v>19861.7</v>
      </c>
    </row>
    <row r="23" spans="2:4" ht="30">
      <c r="B23" s="46" t="s">
        <v>161</v>
      </c>
      <c r="C23" s="94" t="s">
        <v>138</v>
      </c>
      <c r="D23" s="48">
        <f>'Свод 2021'!AA14+'Свод 2021'!Z14</f>
        <v>21013.62</v>
      </c>
    </row>
    <row r="24" spans="2:4" ht="28.5" customHeight="1">
      <c r="B24" s="124" t="s">
        <v>141</v>
      </c>
      <c r="C24" s="49" t="s">
        <v>140</v>
      </c>
      <c r="D24" s="207">
        <f>'Свод 2021'!AC14</f>
        <v>1370.47</v>
      </c>
    </row>
    <row r="25" spans="2:4" ht="28.5" customHeight="1">
      <c r="B25" s="154" t="s">
        <v>142</v>
      </c>
      <c r="C25" s="98" t="s">
        <v>143</v>
      </c>
      <c r="D25" s="213">
        <f>'Свод 2021'!AB14</f>
        <v>884.78</v>
      </c>
    </row>
    <row r="26" spans="2:4" ht="21.75" customHeight="1">
      <c r="B26" s="200" t="s">
        <v>153</v>
      </c>
      <c r="C26" s="47" t="s">
        <v>59</v>
      </c>
      <c r="D26" s="201">
        <f>'Свод 2021'!AD14</f>
        <v>19465.25</v>
      </c>
    </row>
    <row r="27" spans="2:4" ht="30.75" customHeight="1">
      <c r="B27" s="105" t="s">
        <v>144</v>
      </c>
      <c r="C27" s="164" t="s">
        <v>135</v>
      </c>
      <c r="D27" s="288">
        <f>'Свод 2021'!AE14</f>
        <v>71667.5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2021'!AG14</f>
        <v>31852.22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2021'!AI14</f>
        <v>68791.96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2021'!AK14</f>
        <v>39594.08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2021'!AL14</f>
        <v>18801.66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2021'!AM14</f>
        <v>32294.62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2021'!AJ14</f>
        <v>36054.95</v>
      </c>
      <c r="E42" s="22">
        <f>D43-C8-C13</f>
        <v>104549.23000000004</v>
      </c>
    </row>
    <row r="43" spans="2:5" ht="15" thickBot="1">
      <c r="B43" s="227" t="s">
        <v>252</v>
      </c>
      <c r="C43" s="228"/>
      <c r="D43" s="229">
        <f>SUM(D19:D42)</f>
        <v>498351.94000000006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355</v>
      </c>
      <c r="C3" s="269"/>
      <c r="D3" s="269"/>
    </row>
    <row r="4" spans="2:5" ht="15.75" thickBot="1">
      <c r="B4" s="57" t="s">
        <v>221</v>
      </c>
      <c r="C4" s="224">
        <f>'Свод 2021'!H15</f>
        <v>2694.9</v>
      </c>
      <c r="D4" s="215">
        <f>'Свод 2021'!J15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2021'!H15</f>
        <v>2694.9</v>
      </c>
      <c r="F5" s="22">
        <f>'Свод 2021'!J15</f>
        <v>20.88</v>
      </c>
    </row>
    <row r="6" spans="2:4" ht="30">
      <c r="B6" s="178" t="s">
        <v>338</v>
      </c>
      <c r="C6" s="277">
        <f>'Свод 2021'!K15</f>
        <v>146227.30999999994</v>
      </c>
      <c r="D6" s="278"/>
    </row>
    <row r="7" spans="2:4" ht="15">
      <c r="B7" s="40" t="s">
        <v>339</v>
      </c>
      <c r="C7" s="266">
        <f>'Свод 2021'!L15</f>
        <v>675250.52</v>
      </c>
      <c r="D7" s="267"/>
    </row>
    <row r="8" spans="2:4" ht="15">
      <c r="B8" s="40" t="s">
        <v>340</v>
      </c>
      <c r="C8" s="266">
        <f>'Свод 2021'!M15</f>
        <v>627025.66</v>
      </c>
      <c r="D8" s="267"/>
    </row>
    <row r="9" spans="2:4" ht="15">
      <c r="B9" s="40" t="s">
        <v>127</v>
      </c>
      <c r="C9" s="266">
        <f>'Свод 2021'!N15</f>
        <v>0</v>
      </c>
      <c r="D9" s="267"/>
    </row>
    <row r="10" spans="2:6" ht="28.5">
      <c r="B10" s="41" t="s">
        <v>147</v>
      </c>
      <c r="C10" s="279">
        <f>C6+C7-C8-C9</f>
        <v>194452.16999999993</v>
      </c>
      <c r="D10" s="280"/>
      <c r="E10" s="22">
        <f>'Свод 2021'!O15</f>
        <v>194452.16999999993</v>
      </c>
      <c r="F10" s="125"/>
    </row>
    <row r="11" spans="2:4" ht="30">
      <c r="B11" s="178" t="s">
        <v>323</v>
      </c>
      <c r="C11" s="266">
        <f>'Свод 2021'!Q15</f>
        <v>2501.87</v>
      </c>
      <c r="D11" s="267"/>
    </row>
    <row r="12" spans="2:4" ht="15">
      <c r="B12" s="40" t="s">
        <v>342</v>
      </c>
      <c r="C12" s="266">
        <f>'Свод 2021'!R15</f>
        <v>26494.14</v>
      </c>
      <c r="D12" s="267"/>
    </row>
    <row r="13" spans="2:4" ht="15">
      <c r="B13" s="40" t="s">
        <v>343</v>
      </c>
      <c r="C13" s="266">
        <f>'Свод 2021'!S15</f>
        <v>28409.820000000003</v>
      </c>
      <c r="D13" s="267"/>
    </row>
    <row r="14" spans="2:6" ht="28.5">
      <c r="B14" s="41" t="s">
        <v>151</v>
      </c>
      <c r="C14" s="279">
        <f>C11+C12-C13</f>
        <v>586.189999999995</v>
      </c>
      <c r="D14" s="280"/>
      <c r="E14" s="22">
        <f>'Свод 2021'!T15</f>
        <v>586.189999999995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2021'!W15</f>
        <v>197590.07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2021'!U15</f>
        <v>2263.72</v>
      </c>
    </row>
    <row r="22" spans="2:4" ht="15">
      <c r="B22" s="46" t="s">
        <v>134</v>
      </c>
      <c r="C22" s="47" t="s">
        <v>60</v>
      </c>
      <c r="D22" s="48">
        <f>'Свод 2021'!V15</f>
        <v>128670.37999999999</v>
      </c>
    </row>
    <row r="23" spans="2:4" ht="30">
      <c r="B23" s="46" t="s">
        <v>161</v>
      </c>
      <c r="C23" s="94" t="s">
        <v>138</v>
      </c>
      <c r="D23" s="48">
        <f>'Свод 2021'!AA15+'Свод 2021'!Z15</f>
        <v>30721.87</v>
      </c>
    </row>
    <row r="24" spans="2:4" ht="28.5" customHeight="1">
      <c r="B24" s="124" t="s">
        <v>141</v>
      </c>
      <c r="C24" s="49" t="s">
        <v>140</v>
      </c>
      <c r="D24" s="207">
        <f>'Свод 2021'!AC15</f>
        <v>2604.23</v>
      </c>
    </row>
    <row r="25" spans="2:4" ht="28.5" customHeight="1">
      <c r="B25" s="154" t="s">
        <v>142</v>
      </c>
      <c r="C25" s="98" t="s">
        <v>143</v>
      </c>
      <c r="D25" s="213">
        <f>'Свод 2021'!AB15</f>
        <v>1293.55</v>
      </c>
    </row>
    <row r="26" spans="2:4" ht="21.75" customHeight="1">
      <c r="B26" s="200" t="s">
        <v>153</v>
      </c>
      <c r="C26" s="47" t="s">
        <v>59</v>
      </c>
      <c r="D26" s="201">
        <f>'Свод 2021'!AD15</f>
        <v>28458.14</v>
      </c>
    </row>
    <row r="27" spans="2:4" ht="30.75" customHeight="1">
      <c r="B27" s="105" t="s">
        <v>144</v>
      </c>
      <c r="C27" s="164" t="s">
        <v>135</v>
      </c>
      <c r="D27" s="288">
        <f>'Свод 2021'!AE15</f>
        <v>104777.71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2021'!AG15</f>
        <v>46567.87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2021'!AI15</f>
        <v>111538.67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2021'!AK15</f>
        <v>30721.86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2021'!AL15</f>
        <v>27164.59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2021'!AM15</f>
        <v>47214.65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2021'!AJ15</f>
        <v>52712.24</v>
      </c>
      <c r="E42" s="22">
        <f>D43-C8-C13</f>
        <v>156864.07</v>
      </c>
    </row>
    <row r="43" spans="2:5" ht="15" thickBot="1">
      <c r="B43" s="227" t="s">
        <v>252</v>
      </c>
      <c r="C43" s="228"/>
      <c r="D43" s="229">
        <f>SUM(D19:D42)</f>
        <v>812299.55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28" header="0.17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363</v>
      </c>
      <c r="C3" s="269"/>
      <c r="D3" s="269"/>
    </row>
    <row r="4" spans="2:5" ht="15.75" thickBot="1">
      <c r="B4" s="57" t="s">
        <v>222</v>
      </c>
      <c r="C4" s="224">
        <f>'Свод 2021'!H16</f>
        <v>4327.2</v>
      </c>
      <c r="D4" s="214">
        <f>'Свод 2021'!J16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2021'!H16</f>
        <v>4327.2</v>
      </c>
      <c r="F5" s="22">
        <f>'Свод 2021'!J15</f>
        <v>20.88</v>
      </c>
    </row>
    <row r="6" spans="2:4" ht="30">
      <c r="B6" s="178" t="s">
        <v>338</v>
      </c>
      <c r="C6" s="277">
        <f>'Свод 2021'!K16</f>
        <v>165190.09000000008</v>
      </c>
      <c r="D6" s="278"/>
    </row>
    <row r="7" spans="2:4" ht="15">
      <c r="B7" s="40" t="s">
        <v>339</v>
      </c>
      <c r="C7" s="266">
        <f>'Свод 2021'!L16</f>
        <v>1084123.56</v>
      </c>
      <c r="D7" s="267"/>
    </row>
    <row r="8" spans="2:4" ht="15">
      <c r="B8" s="40" t="s">
        <v>340</v>
      </c>
      <c r="C8" s="266">
        <f>'Свод 2021'!M16</f>
        <v>1059606.93</v>
      </c>
      <c r="D8" s="267"/>
    </row>
    <row r="9" spans="2:4" ht="15">
      <c r="B9" s="40" t="s">
        <v>127</v>
      </c>
      <c r="C9" s="266">
        <f>'Свод 2021'!N16</f>
        <v>0</v>
      </c>
      <c r="D9" s="267"/>
    </row>
    <row r="10" spans="2:6" ht="28.5">
      <c r="B10" s="41" t="s">
        <v>147</v>
      </c>
      <c r="C10" s="279">
        <f>C6+C7-C8+C9</f>
        <v>189706.7200000002</v>
      </c>
      <c r="D10" s="280"/>
      <c r="E10" s="22">
        <f>'Свод 2021'!O16</f>
        <v>189706.7200000002</v>
      </c>
      <c r="F10" s="125"/>
    </row>
    <row r="11" spans="2:4" ht="30">
      <c r="B11" s="178" t="s">
        <v>323</v>
      </c>
      <c r="C11" s="266">
        <f>'Свод 2021'!Q16</f>
        <v>14981.28</v>
      </c>
      <c r="D11" s="267"/>
    </row>
    <row r="12" spans="2:4" ht="15">
      <c r="B12" s="40" t="s">
        <v>342</v>
      </c>
      <c r="C12" s="266">
        <f>'Свод 2021'!R16</f>
        <v>92596.16</v>
      </c>
      <c r="D12" s="267"/>
    </row>
    <row r="13" spans="2:4" ht="15">
      <c r="B13" s="40" t="s">
        <v>343</v>
      </c>
      <c r="C13" s="266">
        <f>'Свод 2021'!S16</f>
        <v>83518.52</v>
      </c>
      <c r="D13" s="267"/>
    </row>
    <row r="14" spans="2:6" ht="28.5">
      <c r="B14" s="41" t="s">
        <v>151</v>
      </c>
      <c r="C14" s="279">
        <f>C11+C12-C13</f>
        <v>24058.92</v>
      </c>
      <c r="D14" s="280"/>
      <c r="E14" s="22">
        <f>'Свод 2021'!T16</f>
        <v>24058.92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2021'!W16</f>
        <v>317270.3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2021'!U16</f>
        <v>3634.85</v>
      </c>
    </row>
    <row r="22" spans="2:4" ht="15">
      <c r="B22" s="46" t="s">
        <v>134</v>
      </c>
      <c r="C22" s="47" t="s">
        <v>60</v>
      </c>
      <c r="D22" s="48">
        <f>'Свод 2021'!V16</f>
        <v>54857.74</v>
      </c>
    </row>
    <row r="23" spans="2:4" ht="30">
      <c r="B23" s="46" t="s">
        <v>161</v>
      </c>
      <c r="C23" s="94" t="s">
        <v>138</v>
      </c>
      <c r="D23" s="48">
        <f>'Свод 2021'!AA16+'Свод 2021'!Z16</f>
        <v>49330.08</v>
      </c>
    </row>
    <row r="24" spans="2:4" ht="28.5" customHeight="1">
      <c r="B24" s="124" t="s">
        <v>141</v>
      </c>
      <c r="C24" s="49" t="s">
        <v>140</v>
      </c>
      <c r="D24" s="207">
        <f>'Свод 2021'!AC16</f>
        <v>3263.5699999999997</v>
      </c>
    </row>
    <row r="25" spans="2:4" ht="28.5" customHeight="1">
      <c r="B25" s="154" t="s">
        <v>142</v>
      </c>
      <c r="C25" s="98" t="s">
        <v>143</v>
      </c>
      <c r="D25" s="213">
        <f>'Свод 2021'!AB16</f>
        <v>2077.06</v>
      </c>
    </row>
    <row r="26" spans="2:4" ht="21.75" customHeight="1">
      <c r="B26" s="200" t="s">
        <v>153</v>
      </c>
      <c r="C26" s="47" t="s">
        <v>59</v>
      </c>
      <c r="D26" s="201">
        <f>'Свод 2021'!AD16</f>
        <v>138291.39</v>
      </c>
    </row>
    <row r="27" spans="2:4" ht="30.75" customHeight="1">
      <c r="B27" s="105" t="s">
        <v>144</v>
      </c>
      <c r="C27" s="164" t="s">
        <v>135</v>
      </c>
      <c r="D27" s="288">
        <f>'Свод 2021'!AE16</f>
        <v>168241.54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2021'!AG16</f>
        <v>74774.02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2021'!AI16</f>
        <v>161491.1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2021'!AK16</f>
        <v>49330.08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2021'!AL16</f>
        <v>43618.18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2021'!AM16</f>
        <v>75812.54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2021'!AJ16</f>
        <v>84640.03</v>
      </c>
      <c r="E42" s="22">
        <f>D43-C8-C9-C13</f>
        <v>83507.03000000004</v>
      </c>
    </row>
    <row r="43" spans="2:5" ht="15" thickBot="1">
      <c r="B43" s="227" t="s">
        <v>252</v>
      </c>
      <c r="C43" s="228"/>
      <c r="D43" s="229">
        <f>SUM(D19:D42)</f>
        <v>1226632.48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364</v>
      </c>
      <c r="C3" s="269"/>
      <c r="D3" s="269"/>
    </row>
    <row r="4" spans="2:5" ht="15.75" thickBot="1">
      <c r="B4" s="57" t="s">
        <v>223</v>
      </c>
      <c r="C4" s="224">
        <f>'Свод 2021'!H17</f>
        <v>4410.6</v>
      </c>
      <c r="D4" s="215">
        <f>'Свод 2021'!J17</f>
        <v>19.28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2021'!H17</f>
        <v>4410.6</v>
      </c>
      <c r="F5" s="22">
        <f>'Свод 2021'!J17</f>
        <v>19.28</v>
      </c>
    </row>
    <row r="6" spans="2:4" ht="30">
      <c r="B6" s="178" t="s">
        <v>338</v>
      </c>
      <c r="C6" s="277">
        <f>'Свод 2021'!K17</f>
        <v>175569.96000000008</v>
      </c>
      <c r="D6" s="278"/>
    </row>
    <row r="7" spans="2:4" ht="15">
      <c r="B7" s="40" t="s">
        <v>339</v>
      </c>
      <c r="C7" s="266">
        <f>'Свод 2021'!L17</f>
        <v>1020436.68</v>
      </c>
      <c r="D7" s="267"/>
    </row>
    <row r="8" spans="2:4" ht="15">
      <c r="B8" s="40" t="s">
        <v>340</v>
      </c>
      <c r="C8" s="266">
        <f>'Свод 2021'!M17</f>
        <v>995357.78</v>
      </c>
      <c r="D8" s="267"/>
    </row>
    <row r="9" spans="2:4" ht="15">
      <c r="B9" s="40" t="s">
        <v>127</v>
      </c>
      <c r="C9" s="266">
        <f>'Свод 2021'!N17</f>
        <v>0</v>
      </c>
      <c r="D9" s="267"/>
    </row>
    <row r="10" spans="2:6" ht="28.5">
      <c r="B10" s="41" t="s">
        <v>147</v>
      </c>
      <c r="C10" s="279">
        <f>C6+C7-C8-C9</f>
        <v>200648.8600000001</v>
      </c>
      <c r="D10" s="280"/>
      <c r="E10" s="22">
        <f>'Свод 2021'!O17</f>
        <v>200648.8600000001</v>
      </c>
      <c r="F10" s="125"/>
    </row>
    <row r="11" spans="2:4" ht="30">
      <c r="B11" s="178" t="s">
        <v>323</v>
      </c>
      <c r="C11" s="266">
        <f>'Свод 2021'!Q17</f>
        <v>4723.97</v>
      </c>
      <c r="D11" s="267"/>
    </row>
    <row r="12" spans="2:4" ht="15">
      <c r="B12" s="40" t="s">
        <v>365</v>
      </c>
      <c r="C12" s="266">
        <f>'Свод 2021'!R17</f>
        <v>39644.590000000004</v>
      </c>
      <c r="D12" s="267"/>
    </row>
    <row r="13" spans="2:4" ht="15">
      <c r="B13" s="40" t="s">
        <v>366</v>
      </c>
      <c r="C13" s="266">
        <f>'Свод 2021'!S17</f>
        <v>35561.7</v>
      </c>
      <c r="D13" s="267"/>
    </row>
    <row r="14" spans="2:6" ht="28.5">
      <c r="B14" s="41" t="s">
        <v>151</v>
      </c>
      <c r="C14" s="279">
        <f>C11+C12-C13</f>
        <v>8806.860000000008</v>
      </c>
      <c r="D14" s="280"/>
      <c r="E14" s="22">
        <f>'Свод 2021'!T17</f>
        <v>8806.860000000008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2021'!W17</f>
        <v>305919.22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2021'!U17</f>
        <v>3704.9</v>
      </c>
    </row>
    <row r="22" spans="2:4" ht="15">
      <c r="B22" s="46" t="s">
        <v>134</v>
      </c>
      <c r="C22" s="47" t="s">
        <v>60</v>
      </c>
      <c r="D22" s="48">
        <f>'Свод 2021'!V17</f>
        <v>42917.86</v>
      </c>
    </row>
    <row r="23" spans="2:4" ht="30">
      <c r="B23" s="46" t="s">
        <v>161</v>
      </c>
      <c r="C23" s="94" t="s">
        <v>138</v>
      </c>
      <c r="D23" s="48">
        <f>'Свод 2021'!AA17+'Свод 2021'!Z17</f>
        <v>50280.829999999994</v>
      </c>
    </row>
    <row r="24" spans="2:4" ht="28.5" customHeight="1">
      <c r="B24" s="124" t="s">
        <v>141</v>
      </c>
      <c r="C24" s="49" t="s">
        <v>140</v>
      </c>
      <c r="D24" s="207">
        <f>'Свод 2021'!AC17</f>
        <v>2259.6099999999997</v>
      </c>
    </row>
    <row r="25" spans="2:4" ht="28.5" customHeight="1">
      <c r="B25" s="154" t="s">
        <v>142</v>
      </c>
      <c r="C25" s="98" t="s">
        <v>143</v>
      </c>
      <c r="D25" s="213">
        <f>'Свод 2021'!AB17</f>
        <v>2117.09</v>
      </c>
    </row>
    <row r="26" spans="2:4" ht="21.75" customHeight="1">
      <c r="B26" s="200" t="s">
        <v>153</v>
      </c>
      <c r="C26" s="47" t="s">
        <v>59</v>
      </c>
      <c r="D26" s="201">
        <f>'Свод 2021'!AD17</f>
        <v>46575.94</v>
      </c>
    </row>
    <row r="27" spans="2:4" ht="30.75" customHeight="1">
      <c r="B27" s="105" t="s">
        <v>144</v>
      </c>
      <c r="C27" s="164" t="s">
        <v>135</v>
      </c>
      <c r="D27" s="288">
        <f>'Свод 2021'!AE17</f>
        <v>109030.03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2021'!AG17</f>
        <v>76215.17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2021'!AI17</f>
        <v>172576.59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2021'!AK17</f>
        <v>45517.39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2021'!AL17</f>
        <v>44458.85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2021'!AM17</f>
        <v>77273.71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2021'!AJ17</f>
        <v>86271.34</v>
      </c>
      <c r="E42" s="22">
        <f>D43-C8-C13</f>
        <v>34199.05</v>
      </c>
    </row>
    <row r="43" spans="2:5" ht="15" thickBot="1">
      <c r="B43" s="227" t="s">
        <v>252</v>
      </c>
      <c r="C43" s="228"/>
      <c r="D43" s="229">
        <f>SUM(D19:D42)</f>
        <v>1065118.53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24" right="0.24" top="0.21" bottom="0.27" header="0.17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4">
      <selection activeCell="E19" sqref="E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328</v>
      </c>
      <c r="C3" s="269"/>
      <c r="D3" s="269"/>
    </row>
    <row r="4" spans="2:5" ht="15.75" thickBot="1">
      <c r="B4" s="57" t="s">
        <v>224</v>
      </c>
      <c r="C4" s="224">
        <f>'Свод 2021'!H18</f>
        <v>7314.6</v>
      </c>
      <c r="D4" s="215">
        <f>'Свод 2021'!J18</f>
        <v>27.27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2021'!H18</f>
        <v>7314.6</v>
      </c>
      <c r="F5" s="22">
        <f>'Свод 2021'!J18</f>
        <v>27.27</v>
      </c>
    </row>
    <row r="6" spans="2:4" ht="30">
      <c r="B6" s="178" t="s">
        <v>311</v>
      </c>
      <c r="C6" s="277" t="e">
        <f>'Свод 2021'!#REF!</f>
        <v>#REF!</v>
      </c>
      <c r="D6" s="278"/>
    </row>
    <row r="7" spans="2:4" ht="15">
      <c r="B7" s="40" t="s">
        <v>312</v>
      </c>
      <c r="C7" s="266">
        <f>'Свод 2021'!L18</f>
        <v>0</v>
      </c>
      <c r="D7" s="267"/>
    </row>
    <row r="8" spans="2:4" ht="15">
      <c r="B8" s="40" t="s">
        <v>313</v>
      </c>
      <c r="C8" s="266">
        <f>'Свод 2021'!M18</f>
        <v>0</v>
      </c>
      <c r="D8" s="267"/>
    </row>
    <row r="9" spans="2:4" ht="15">
      <c r="B9" s="40" t="s">
        <v>127</v>
      </c>
      <c r="C9" s="266" t="str">
        <f>'Свод 2021'!N4</f>
        <v>-0,01</v>
      </c>
      <c r="D9" s="267"/>
    </row>
    <row r="10" spans="2:6" ht="28.5">
      <c r="B10" s="41" t="s">
        <v>147</v>
      </c>
      <c r="C10" s="279" t="e">
        <f>C6+C7-C8-C9</f>
        <v>#REF!</v>
      </c>
      <c r="D10" s="280"/>
      <c r="E10" s="22">
        <f>'Свод 2021'!O18</f>
        <v>0</v>
      </c>
      <c r="F10" s="125"/>
    </row>
    <row r="11" spans="2:4" ht="30">
      <c r="B11" s="178" t="s">
        <v>323</v>
      </c>
      <c r="C11" s="266">
        <f>'Свод 2021'!Q18</f>
        <v>0</v>
      </c>
      <c r="D11" s="267"/>
    </row>
    <row r="12" spans="2:4" ht="15">
      <c r="B12" s="40" t="s">
        <v>314</v>
      </c>
      <c r="C12" s="266">
        <f>'Свод 2021'!R18</f>
        <v>0</v>
      </c>
      <c r="D12" s="267"/>
    </row>
    <row r="13" spans="2:4" ht="15">
      <c r="B13" s="40" t="s">
        <v>315</v>
      </c>
      <c r="C13" s="266">
        <f>'Свод 2021'!S18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2021'!T18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316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2021'!W18</f>
        <v>0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2021'!U18</f>
        <v>0</v>
      </c>
    </row>
    <row r="22" spans="2:4" ht="15">
      <c r="B22" s="46" t="s">
        <v>134</v>
      </c>
      <c r="C22" s="47" t="s">
        <v>60</v>
      </c>
      <c r="D22" s="48">
        <f>'Свод 2021'!V18</f>
        <v>0</v>
      </c>
    </row>
    <row r="23" spans="2:4" ht="30">
      <c r="B23" s="46" t="s">
        <v>161</v>
      </c>
      <c r="C23" s="94" t="s">
        <v>138</v>
      </c>
      <c r="D23" s="48">
        <f>'Свод 2021'!AA18+'Свод 2021'!Z18</f>
        <v>0</v>
      </c>
    </row>
    <row r="24" spans="2:4" ht="28.5" customHeight="1">
      <c r="B24" s="124" t="s">
        <v>141</v>
      </c>
      <c r="C24" s="49" t="s">
        <v>140</v>
      </c>
      <c r="D24" s="207">
        <f>'Свод 2021'!AC18</f>
        <v>0</v>
      </c>
    </row>
    <row r="25" spans="2:4" ht="28.5" customHeight="1">
      <c r="B25" s="154" t="s">
        <v>142</v>
      </c>
      <c r="C25" s="98" t="s">
        <v>143</v>
      </c>
      <c r="D25" s="213">
        <f>'Свод 2021'!AB18</f>
        <v>0</v>
      </c>
    </row>
    <row r="26" spans="2:4" ht="21.75" customHeight="1">
      <c r="B26" s="200" t="s">
        <v>153</v>
      </c>
      <c r="C26" s="47" t="s">
        <v>59</v>
      </c>
      <c r="D26" s="201">
        <f>'Свод 2021'!AD18</f>
        <v>0</v>
      </c>
    </row>
    <row r="27" spans="2:4" ht="30.75" customHeight="1">
      <c r="B27" s="105" t="s">
        <v>144</v>
      </c>
      <c r="C27" s="164" t="s">
        <v>135</v>
      </c>
      <c r="D27" s="288">
        <f>'Свод 2021'!AE18</f>
        <v>0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2021'!AG18</f>
        <v>0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2021'!AI18</f>
        <v>0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2021'!AK18</f>
        <v>0</v>
      </c>
    </row>
    <row r="37" spans="2:4" ht="15">
      <c r="B37" s="155" t="s">
        <v>130</v>
      </c>
      <c r="C37" s="161"/>
      <c r="D37" s="162"/>
    </row>
    <row r="38" spans="2:4" ht="60.75" thickBot="1">
      <c r="B38" s="158" t="s">
        <v>225</v>
      </c>
      <c r="C38" s="159" t="s">
        <v>139</v>
      </c>
      <c r="D38" s="163">
        <f>'Свод 2021'!AL18</f>
        <v>0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2021'!AM18</f>
        <v>0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2021'!AJ18</f>
        <v>0</v>
      </c>
      <c r="E42" s="22">
        <f>D43-C8-C13</f>
        <v>0</v>
      </c>
    </row>
    <row r="43" spans="2:5" ht="15" thickBot="1">
      <c r="B43" s="227" t="s">
        <v>252</v>
      </c>
      <c r="C43" s="228"/>
      <c r="D43" s="229">
        <f>SUM(D19:D42)</f>
        <v>0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17" right="0.23" top="0.31" bottom="0.17" header="0.19" footer="0.1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368</v>
      </c>
      <c r="C3" s="269"/>
      <c r="D3" s="269"/>
    </row>
    <row r="4" spans="2:5" ht="15.75" thickBot="1">
      <c r="B4" s="57" t="s">
        <v>227</v>
      </c>
      <c r="C4" s="224">
        <f>'Свод 2021'!H19</f>
        <v>4341.5</v>
      </c>
      <c r="D4" s="215">
        <f>'Свод 2021'!J19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2021'!H19</f>
        <v>4341.5</v>
      </c>
      <c r="F5" s="22">
        <f>'Свод 2021'!J19</f>
        <v>20.88</v>
      </c>
    </row>
    <row r="6" spans="2:4" ht="30">
      <c r="B6" s="178" t="s">
        <v>338</v>
      </c>
      <c r="C6" s="277">
        <f>'Свод 2021'!K19</f>
        <v>149280.18999999983</v>
      </c>
      <c r="D6" s="278"/>
    </row>
    <row r="7" spans="2:4" ht="15">
      <c r="B7" s="40" t="s">
        <v>339</v>
      </c>
      <c r="C7" s="266">
        <f>'Свод 2021'!L19</f>
        <v>1087851.86</v>
      </c>
      <c r="D7" s="267"/>
    </row>
    <row r="8" spans="2:4" ht="15">
      <c r="B8" s="40" t="s">
        <v>340</v>
      </c>
      <c r="C8" s="266">
        <f>'Свод 2021'!M19</f>
        <v>1071450.71</v>
      </c>
      <c r="D8" s="267"/>
    </row>
    <row r="9" spans="2:4" ht="15">
      <c r="B9" s="40" t="s">
        <v>127</v>
      </c>
      <c r="C9" s="266">
        <f>'Свод 2021'!N19</f>
        <v>0</v>
      </c>
      <c r="D9" s="267"/>
    </row>
    <row r="10" spans="2:6" ht="28.5">
      <c r="B10" s="41" t="s">
        <v>147</v>
      </c>
      <c r="C10" s="279">
        <f>C6+C7-C8-C9</f>
        <v>165681.33999999985</v>
      </c>
      <c r="D10" s="280"/>
      <c r="E10" s="22">
        <f>'Свод 2021'!O19</f>
        <v>165681.33999999985</v>
      </c>
      <c r="F10" s="125"/>
    </row>
    <row r="11" spans="2:4" ht="30">
      <c r="B11" s="178" t="s">
        <v>323</v>
      </c>
      <c r="C11" s="266">
        <f>'Свод 2021'!Q19</f>
        <v>2219.48</v>
      </c>
      <c r="D11" s="267"/>
    </row>
    <row r="12" spans="2:4" ht="15">
      <c r="B12" s="40" t="s">
        <v>342</v>
      </c>
      <c r="C12" s="266">
        <f>'Свод 2021'!R19</f>
        <v>6658.44</v>
      </c>
      <c r="D12" s="267"/>
    </row>
    <row r="13" spans="2:4" ht="15">
      <c r="B13" s="40" t="s">
        <v>343</v>
      </c>
      <c r="C13" s="266">
        <f>'Свод 2021'!S19</f>
        <v>8323.05</v>
      </c>
      <c r="D13" s="267"/>
    </row>
    <row r="14" spans="2:6" ht="28.5">
      <c r="B14" s="41" t="s">
        <v>151</v>
      </c>
      <c r="C14" s="279">
        <f>C11+C12-C13</f>
        <v>554.8700000000008</v>
      </c>
      <c r="D14" s="280"/>
      <c r="E14" s="22">
        <f>'Свод 2021'!T19</f>
        <v>554.8700000000008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2021'!W19</f>
        <v>318318.78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2021'!U19</f>
        <v>3646.86</v>
      </c>
    </row>
    <row r="22" spans="2:4" ht="15">
      <c r="B22" s="46" t="s">
        <v>134</v>
      </c>
      <c r="C22" s="47" t="s">
        <v>60</v>
      </c>
      <c r="D22" s="48">
        <f>'Свод 2021'!V19</f>
        <v>60168.659999999996</v>
      </c>
    </row>
    <row r="23" spans="2:4" ht="30">
      <c r="B23" s="46" t="s">
        <v>161</v>
      </c>
      <c r="C23" s="94" t="s">
        <v>138</v>
      </c>
      <c r="D23" s="48">
        <f>'Свод 2021'!AA19+'Свод 2021'!Z19</f>
        <v>49493.100000000006</v>
      </c>
    </row>
    <row r="24" spans="2:4" ht="28.5" customHeight="1">
      <c r="B24" s="124" t="s">
        <v>141</v>
      </c>
      <c r="C24" s="49" t="s">
        <v>140</v>
      </c>
      <c r="D24" s="207">
        <f>'Свод 2021'!AC19</f>
        <v>3559.26</v>
      </c>
    </row>
    <row r="25" spans="2:4" ht="28.5" customHeight="1">
      <c r="B25" s="218" t="s">
        <v>142</v>
      </c>
      <c r="C25" s="49" t="s">
        <v>143</v>
      </c>
      <c r="D25" s="207">
        <f>'Свод 2021'!AB19</f>
        <v>2083.92</v>
      </c>
    </row>
    <row r="26" spans="2:4" ht="21.75" customHeight="1" thickBot="1">
      <c r="B26" s="172" t="s">
        <v>153</v>
      </c>
      <c r="C26" s="173" t="s">
        <v>59</v>
      </c>
      <c r="D26" s="174">
        <f>'Свод 2021'!AD19</f>
        <v>45846.24</v>
      </c>
    </row>
    <row r="27" spans="2:4" ht="30.75" customHeight="1">
      <c r="B27" s="95" t="s">
        <v>144</v>
      </c>
      <c r="C27" s="150" t="s">
        <v>135</v>
      </c>
      <c r="D27" s="291">
        <f>'Свод 2021'!AE19</f>
        <v>168797.52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2021'!AG19</f>
        <v>75021.12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2021'!AI19</f>
        <v>162024.78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2021'!AK19</f>
        <v>49493.1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2021'!AL19</f>
        <v>43762.32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2021'!AM19</f>
        <v>76063.08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2021'!AJ19</f>
        <v>84919.74</v>
      </c>
      <c r="E42" s="22">
        <f>D43-C8-C13</f>
        <v>63424.720000000016</v>
      </c>
    </row>
    <row r="43" spans="2:5" ht="15" thickBot="1">
      <c r="B43" s="227" t="s">
        <v>252</v>
      </c>
      <c r="C43" s="228"/>
      <c r="D43" s="229">
        <f>SUM(D19:D42)</f>
        <v>1143198.48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27" header="0.17" footer="0.1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369</v>
      </c>
      <c r="C3" s="269"/>
      <c r="D3" s="269"/>
    </row>
    <row r="4" spans="2:5" ht="15.75" thickBot="1">
      <c r="B4" s="57" t="s">
        <v>229</v>
      </c>
      <c r="C4" s="224">
        <f>'Свод 2021'!H20</f>
        <v>2698.6</v>
      </c>
      <c r="D4" s="215">
        <f>'Свод 2021'!J20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2021'!H20</f>
        <v>2698.6</v>
      </c>
      <c r="F5" s="22">
        <f>'Свод 2021'!J19</f>
        <v>20.88</v>
      </c>
    </row>
    <row r="6" spans="2:4" ht="30">
      <c r="B6" s="178" t="s">
        <v>338</v>
      </c>
      <c r="C6" s="277">
        <f>'Свод 2021'!K20</f>
        <v>302198.72</v>
      </c>
      <c r="D6" s="278"/>
    </row>
    <row r="7" spans="2:4" ht="15">
      <c r="B7" s="40" t="s">
        <v>339</v>
      </c>
      <c r="C7" s="266">
        <f>'Свод 2021'!L20</f>
        <v>660776.88</v>
      </c>
      <c r="D7" s="267"/>
    </row>
    <row r="8" spans="2:4" ht="15">
      <c r="B8" s="40" t="s">
        <v>340</v>
      </c>
      <c r="C8" s="266">
        <f>'Свод 2021'!M20</f>
        <v>611145.51</v>
      </c>
      <c r="D8" s="267"/>
    </row>
    <row r="9" spans="2:4" ht="15">
      <c r="B9" s="40" t="s">
        <v>127</v>
      </c>
      <c r="C9" s="266">
        <f>'Свод 2021'!N20</f>
        <v>0</v>
      </c>
      <c r="D9" s="267"/>
    </row>
    <row r="10" spans="2:6" ht="28.5">
      <c r="B10" s="41" t="s">
        <v>147</v>
      </c>
      <c r="C10" s="279">
        <f>C6+C7-C8-C9</f>
        <v>351830.08999999997</v>
      </c>
      <c r="D10" s="280"/>
      <c r="E10" s="22">
        <f>'Свод 2021'!O20</f>
        <v>351830.08999999997</v>
      </c>
      <c r="F10" s="125"/>
    </row>
    <row r="11" spans="2:4" ht="30">
      <c r="B11" s="178" t="s">
        <v>323</v>
      </c>
      <c r="C11" s="266">
        <f>'Свод 2021'!Q20</f>
        <v>6865.07</v>
      </c>
      <c r="D11" s="267"/>
    </row>
    <row r="12" spans="2:4" ht="15">
      <c r="B12" s="40" t="s">
        <v>342</v>
      </c>
      <c r="C12" s="266">
        <f>'Свод 2021'!R20</f>
        <v>50660.34</v>
      </c>
      <c r="D12" s="267"/>
    </row>
    <row r="13" spans="2:4" ht="15">
      <c r="B13" s="40" t="s">
        <v>343</v>
      </c>
      <c r="C13" s="266">
        <f>'Свод 2021'!S20</f>
        <v>51012.229999999996</v>
      </c>
      <c r="D13" s="267"/>
    </row>
    <row r="14" spans="2:6" ht="28.5">
      <c r="B14" s="41" t="s">
        <v>151</v>
      </c>
      <c r="C14" s="279">
        <f>C11+C12-C13</f>
        <v>6513.18</v>
      </c>
      <c r="D14" s="280"/>
      <c r="E14" s="22">
        <f>'Свод 2021'!T20</f>
        <v>6513.18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2021'!W20</f>
        <v>197861.35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2021'!U20</f>
        <v>2266.82</v>
      </c>
    </row>
    <row r="22" spans="2:4" ht="15">
      <c r="B22" s="46" t="s">
        <v>134</v>
      </c>
      <c r="C22" s="47" t="s">
        <v>60</v>
      </c>
      <c r="D22" s="48">
        <f>'Свод 2021'!V20</f>
        <v>51618.64</v>
      </c>
    </row>
    <row r="23" spans="2:4" ht="30">
      <c r="B23" s="46" t="s">
        <v>161</v>
      </c>
      <c r="C23" s="94" t="s">
        <v>138</v>
      </c>
      <c r="D23" s="48">
        <f>'Свод 2021'!AA20+'Свод 2021'!Z20</f>
        <v>30764.030000000002</v>
      </c>
    </row>
    <row r="24" spans="2:4" ht="28.5" customHeight="1">
      <c r="B24" s="124" t="s">
        <v>141</v>
      </c>
      <c r="C24" s="49" t="s">
        <v>140</v>
      </c>
      <c r="D24" s="207">
        <f>'Свод 2021'!AC20</f>
        <v>2962.41</v>
      </c>
    </row>
    <row r="25" spans="2:4" ht="28.5" customHeight="1">
      <c r="B25" s="154" t="s">
        <v>142</v>
      </c>
      <c r="C25" s="98" t="s">
        <v>143</v>
      </c>
      <c r="D25" s="213">
        <f>'Свод 2021'!AB20</f>
        <v>1295.33</v>
      </c>
    </row>
    <row r="26" spans="2:4" ht="21.75" customHeight="1">
      <c r="B26" s="200" t="s">
        <v>153</v>
      </c>
      <c r="C26" s="47" t="s">
        <v>59</v>
      </c>
      <c r="D26" s="201">
        <f>'Свод 2021'!AD20</f>
        <v>28497.22</v>
      </c>
    </row>
    <row r="27" spans="2:4" ht="30.75" customHeight="1">
      <c r="B27" s="105" t="s">
        <v>144</v>
      </c>
      <c r="C27" s="164" t="s">
        <v>135</v>
      </c>
      <c r="D27" s="288">
        <f>'Свод 2021'!AE20</f>
        <v>104921.57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2021'!AG20</f>
        <v>46631.81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2021'!AI20</f>
        <v>100711.75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2021'!AK20</f>
        <v>30764.04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2021'!AL20</f>
        <v>27201.89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2021'!AM20</f>
        <v>47279.47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2021'!AJ20</f>
        <v>52784.62</v>
      </c>
      <c r="E42" s="22">
        <f>D43-C8-C13</f>
        <v>63403.210000000065</v>
      </c>
    </row>
    <row r="43" spans="2:5" ht="15" thickBot="1">
      <c r="B43" s="227" t="s">
        <v>252</v>
      </c>
      <c r="C43" s="228"/>
      <c r="D43" s="229">
        <f>SUM(D19:D42)</f>
        <v>725560.9500000001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3" bottom="0.33" header="0.21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370</v>
      </c>
      <c r="C3" s="269"/>
      <c r="D3" s="269"/>
    </row>
    <row r="4" spans="2:5" ht="15.75" thickBot="1">
      <c r="B4" s="57" t="s">
        <v>230</v>
      </c>
      <c r="C4" s="224">
        <f>'Свод 2021'!H21</f>
        <v>4404.7</v>
      </c>
      <c r="D4" s="215">
        <f>'Свод 2021'!J21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2021'!H21</f>
        <v>4404.7</v>
      </c>
      <c r="F5" s="22">
        <f>'Свод 2021'!J21</f>
        <v>20.88</v>
      </c>
    </row>
    <row r="6" spans="2:4" ht="30">
      <c r="B6" s="178" t="s">
        <v>338</v>
      </c>
      <c r="C6" s="277">
        <f>'Свод 2021'!K21</f>
        <v>588083.8800000006</v>
      </c>
      <c r="D6" s="278"/>
    </row>
    <row r="7" spans="2:4" ht="15">
      <c r="B7" s="40" t="s">
        <v>339</v>
      </c>
      <c r="C7" s="266">
        <f>'Свод 2021'!L21</f>
        <v>1102756.76</v>
      </c>
      <c r="D7" s="267"/>
    </row>
    <row r="8" spans="2:4" ht="15">
      <c r="B8" s="40" t="s">
        <v>340</v>
      </c>
      <c r="C8" s="266">
        <f>'Свод 2021'!M21</f>
        <v>1160641.23</v>
      </c>
      <c r="D8" s="267"/>
    </row>
    <row r="9" spans="2:4" ht="15">
      <c r="B9" s="40" t="s">
        <v>127</v>
      </c>
      <c r="C9" s="266">
        <f>'Свод 2021'!N21</f>
        <v>0</v>
      </c>
      <c r="D9" s="267"/>
    </row>
    <row r="10" spans="2:6" ht="28.5">
      <c r="B10" s="41" t="s">
        <v>147</v>
      </c>
      <c r="C10" s="279">
        <f>C6+C7-C8-C9</f>
        <v>530199.4100000006</v>
      </c>
      <c r="D10" s="280"/>
      <c r="E10" s="22">
        <f>'Свод 2021'!O21</f>
        <v>530199.4100000006</v>
      </c>
      <c r="F10" s="125"/>
    </row>
    <row r="11" spans="2:4" ht="30">
      <c r="B11" s="178" t="s">
        <v>323</v>
      </c>
      <c r="C11" s="266">
        <f>'Свод 2021'!Q21</f>
        <v>3167.87</v>
      </c>
      <c r="D11" s="267"/>
    </row>
    <row r="12" spans="2:4" ht="15">
      <c r="B12" s="40" t="s">
        <v>342</v>
      </c>
      <c r="C12" s="266">
        <f>'Свод 2021'!R21</f>
        <v>11289.599999999999</v>
      </c>
      <c r="D12" s="267"/>
    </row>
    <row r="13" spans="2:4" ht="15">
      <c r="B13" s="40" t="s">
        <v>343</v>
      </c>
      <c r="C13" s="266">
        <f>'Свод 2021'!S21</f>
        <v>14309.05</v>
      </c>
      <c r="D13" s="267"/>
    </row>
    <row r="14" spans="2:6" ht="28.5">
      <c r="B14" s="41" t="s">
        <v>151</v>
      </c>
      <c r="C14" s="279">
        <f>C11+C12-C13</f>
        <v>148.41999999999825</v>
      </c>
      <c r="D14" s="280"/>
      <c r="E14" s="22">
        <f>'Свод 2021'!T21</f>
        <v>148.41999999999825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2021'!W21</f>
        <v>322952.6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2021'!U21</f>
        <v>3699.95</v>
      </c>
    </row>
    <row r="22" spans="2:4" ht="15">
      <c r="B22" s="46" t="s">
        <v>134</v>
      </c>
      <c r="C22" s="47" t="s">
        <v>60</v>
      </c>
      <c r="D22" s="48">
        <f>'Свод 2021'!V21</f>
        <v>39708.19</v>
      </c>
    </row>
    <row r="23" spans="2:4" ht="30">
      <c r="B23" s="46" t="s">
        <v>161</v>
      </c>
      <c r="C23" s="94" t="s">
        <v>138</v>
      </c>
      <c r="D23" s="48">
        <f>'Свод 2021'!AA21+'Свод 2021'!Z21</f>
        <v>50213.579999999994</v>
      </c>
    </row>
    <row r="24" spans="2:4" ht="28.5" customHeight="1">
      <c r="B24" s="124" t="s">
        <v>141</v>
      </c>
      <c r="C24" s="49" t="s">
        <v>140</v>
      </c>
      <c r="D24" s="207">
        <f>'Свод 2021'!AC21</f>
        <v>2386.11</v>
      </c>
    </row>
    <row r="25" spans="2:4" ht="28.5" customHeight="1">
      <c r="B25" s="154" t="s">
        <v>142</v>
      </c>
      <c r="C25" s="98" t="s">
        <v>143</v>
      </c>
      <c r="D25" s="213">
        <f>'Свод 2021'!AB21</f>
        <v>2114.26</v>
      </c>
    </row>
    <row r="26" spans="2:4" ht="21.75" customHeight="1">
      <c r="B26" s="200" t="s">
        <v>153</v>
      </c>
      <c r="C26" s="47" t="s">
        <v>59</v>
      </c>
      <c r="D26" s="201">
        <f>'Свод 2021'!AD21</f>
        <v>60822.67999999999</v>
      </c>
    </row>
    <row r="27" spans="2:4" ht="30.75" customHeight="1">
      <c r="B27" s="105" t="s">
        <v>144</v>
      </c>
      <c r="C27" s="164" t="s">
        <v>135</v>
      </c>
      <c r="D27" s="288">
        <f>'Свод 2021'!AE21</f>
        <v>171254.74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2021'!AG21</f>
        <v>76113.22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2021'!AI21</f>
        <v>164383.4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2021'!AK21</f>
        <v>85213.58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2021'!AL21</f>
        <v>64399.38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2021'!AM21</f>
        <v>77170.34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2021'!AJ21</f>
        <v>86155.93</v>
      </c>
      <c r="E42" s="22">
        <f>D43-C8-C13</f>
        <v>31637.679999999982</v>
      </c>
    </row>
    <row r="43" spans="2:5" ht="15" thickBot="1">
      <c r="B43" s="227" t="s">
        <v>252</v>
      </c>
      <c r="C43" s="228"/>
      <c r="D43" s="229">
        <f>SUM(D19:D42)</f>
        <v>1206587.96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18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337</v>
      </c>
      <c r="C3" s="269"/>
      <c r="D3" s="269"/>
    </row>
    <row r="4" spans="2:4" ht="15.75" thickBot="1">
      <c r="B4" s="57" t="s">
        <v>210</v>
      </c>
      <c r="C4" s="224">
        <f>'Свод 2021'!H4</f>
        <v>2661.8</v>
      </c>
      <c r="D4" s="215">
        <f>'Свод 2021'!J4</f>
        <v>20.88</v>
      </c>
    </row>
    <row r="5" spans="2:4" ht="31.5" customHeight="1" thickBot="1">
      <c r="B5" s="36" t="s">
        <v>54</v>
      </c>
      <c r="C5" s="275" t="s">
        <v>150</v>
      </c>
      <c r="D5" s="276"/>
    </row>
    <row r="6" spans="2:4" ht="30">
      <c r="B6" s="178" t="s">
        <v>338</v>
      </c>
      <c r="C6" s="277">
        <f>'Свод 2021'!K4</f>
        <v>187861.97999999963</v>
      </c>
      <c r="D6" s="278"/>
    </row>
    <row r="7" spans="2:4" ht="15">
      <c r="B7" s="40" t="s">
        <v>339</v>
      </c>
      <c r="C7" s="266">
        <f>'Свод 2021'!L4</f>
        <v>660701.64</v>
      </c>
      <c r="D7" s="267"/>
    </row>
    <row r="8" spans="2:4" ht="15">
      <c r="B8" s="40" t="s">
        <v>340</v>
      </c>
      <c r="C8" s="266">
        <f>'Свод 2021'!M4</f>
        <v>645337.28</v>
      </c>
      <c r="D8" s="267"/>
    </row>
    <row r="9" spans="2:4" ht="15">
      <c r="B9" s="40" t="s">
        <v>127</v>
      </c>
      <c r="C9" s="266" t="str">
        <f>'Свод 2021'!N4</f>
        <v>-0,01</v>
      </c>
      <c r="D9" s="267"/>
    </row>
    <row r="10" spans="2:4" ht="28.5">
      <c r="B10" s="41" t="s">
        <v>147</v>
      </c>
      <c r="C10" s="279">
        <f>C6+C7-C8+C9</f>
        <v>203226.3299999996</v>
      </c>
      <c r="D10" s="280"/>
    </row>
    <row r="11" spans="2:4" ht="30">
      <c r="B11" s="178" t="s">
        <v>341</v>
      </c>
      <c r="C11" s="266">
        <f>'Свод 2021'!Q4</f>
        <v>4565.799999999999</v>
      </c>
      <c r="D11" s="267"/>
    </row>
    <row r="12" spans="2:4" ht="15">
      <c r="B12" s="40" t="s">
        <v>342</v>
      </c>
      <c r="C12" s="266">
        <f>'Свод 2021'!R4</f>
        <v>25685.63</v>
      </c>
      <c r="D12" s="267"/>
    </row>
    <row r="13" spans="2:4" ht="15">
      <c r="B13" s="40" t="s">
        <v>343</v>
      </c>
      <c r="C13" s="266">
        <f>'Свод 2021'!S4</f>
        <v>23958.97</v>
      </c>
      <c r="D13" s="267"/>
    </row>
    <row r="14" spans="2:6" ht="28.5">
      <c r="B14" s="41" t="s">
        <v>151</v>
      </c>
      <c r="C14" s="279">
        <f>C11+C12-C13</f>
        <v>6292.459999999999</v>
      </c>
      <c r="D14" s="280"/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</f>
        <v>195163.18</v>
      </c>
    </row>
    <row r="20" spans="2:5" ht="15.75" thickBot="1">
      <c r="B20" s="158" t="s">
        <v>152</v>
      </c>
      <c r="C20" s="97" t="s">
        <v>143</v>
      </c>
      <c r="D20" s="289"/>
      <c r="E20" t="s">
        <v>167</v>
      </c>
    </row>
    <row r="21" spans="2:4" ht="30">
      <c r="B21" s="105" t="s">
        <v>160</v>
      </c>
      <c r="C21" s="106" t="s">
        <v>157</v>
      </c>
      <c r="D21" s="170">
        <f>'Свод 2021'!U4</f>
        <v>2235.91</v>
      </c>
    </row>
    <row r="22" spans="2:4" ht="15">
      <c r="B22" s="46" t="s">
        <v>134</v>
      </c>
      <c r="C22" s="47" t="s">
        <v>170</v>
      </c>
      <c r="D22" s="48">
        <f>'Свод 2021'!V4</f>
        <v>37413.2</v>
      </c>
    </row>
    <row r="23" spans="2:4" ht="30">
      <c r="B23" s="46" t="s">
        <v>161</v>
      </c>
      <c r="C23" s="94" t="s">
        <v>138</v>
      </c>
      <c r="D23" s="48">
        <f>'Свод 2021'!AA4+'Свод 2021'!Z4</f>
        <v>30344.519999999997</v>
      </c>
    </row>
    <row r="24" spans="2:4" ht="28.5" customHeight="1">
      <c r="B24" s="124" t="s">
        <v>141</v>
      </c>
      <c r="C24" s="49" t="s">
        <v>140</v>
      </c>
      <c r="D24" s="207">
        <f>'Свод 2021'!AC4</f>
        <v>1387.05</v>
      </c>
    </row>
    <row r="25" spans="2:4" ht="28.5" customHeight="1">
      <c r="B25" s="154" t="s">
        <v>142</v>
      </c>
      <c r="C25" s="98" t="s">
        <v>143</v>
      </c>
      <c r="D25" s="207">
        <f>'Свод 2021'!AB4</f>
        <v>1277.66</v>
      </c>
    </row>
    <row r="26" spans="2:4" ht="21.75" customHeight="1">
      <c r="B26" s="200" t="s">
        <v>153</v>
      </c>
      <c r="C26" s="47" t="s">
        <v>169</v>
      </c>
      <c r="D26" s="201">
        <f>'Свод 2021'!AD4</f>
        <v>53794.240000000005</v>
      </c>
    </row>
    <row r="27" spans="2:4" ht="30.75" customHeight="1">
      <c r="B27" s="105" t="s">
        <v>144</v>
      </c>
      <c r="C27" s="164" t="s">
        <v>135</v>
      </c>
      <c r="D27" s="288">
        <f>'Свод 2021'!AE4</f>
        <v>103490.78</v>
      </c>
    </row>
    <row r="28" spans="2:4" ht="30.75" customHeight="1" hidden="1" thickBot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</f>
        <v>45995.9</v>
      </c>
    </row>
    <row r="32" spans="2:4" ht="30">
      <c r="B32" s="148" t="s">
        <v>133</v>
      </c>
      <c r="C32" s="53"/>
      <c r="D32" s="54"/>
    </row>
    <row r="33" spans="2:4" ht="59.25">
      <c r="B33" s="124" t="s">
        <v>173</v>
      </c>
      <c r="C33" s="94" t="s">
        <v>168</v>
      </c>
      <c r="D33" s="89">
        <f>'Свод 2021'!AI4</f>
        <v>99338.38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</f>
        <v>30344.52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208">
        <f>'Свод 2021'!AL4</f>
        <v>26830.94</v>
      </c>
    </row>
    <row r="39" spans="2:4" ht="15">
      <c r="B39" s="155" t="s">
        <v>131</v>
      </c>
      <c r="C39" s="165"/>
      <c r="D39" s="209"/>
    </row>
    <row r="40" spans="2:4" ht="44.25" customHeight="1" thickBot="1">
      <c r="B40" s="158" t="s">
        <v>148</v>
      </c>
      <c r="C40" s="159" t="s">
        <v>139</v>
      </c>
      <c r="D40" s="208">
        <f>'Свод 2021'!AM4</f>
        <v>46634.74</v>
      </c>
    </row>
    <row r="41" spans="2:4" ht="19.5" customHeight="1">
      <c r="B41" s="167" t="s">
        <v>149</v>
      </c>
      <c r="C41" s="150"/>
      <c r="D41" s="162"/>
    </row>
    <row r="42" spans="2:5" ht="120.75" thickBot="1">
      <c r="B42" s="158" t="s">
        <v>163</v>
      </c>
      <c r="C42" s="159" t="s">
        <v>139</v>
      </c>
      <c r="D42" s="104">
        <f>'Свод 2021'!AJ4</f>
        <v>66078.81</v>
      </c>
      <c r="E42" s="22">
        <f>D43-C8-C13</f>
        <v>71033.57999999981</v>
      </c>
    </row>
    <row r="43" spans="2:5" ht="15" thickBot="1">
      <c r="B43" s="227" t="s">
        <v>252</v>
      </c>
      <c r="C43" s="228"/>
      <c r="D43" s="229">
        <f>SUM(D19:D42)</f>
        <v>740329.8299999998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2:D12"/>
    <mergeCell ref="C13:D13"/>
    <mergeCell ref="C14:D14"/>
    <mergeCell ref="C17:C18"/>
    <mergeCell ref="D17:D18"/>
    <mergeCell ref="C44:D45"/>
    <mergeCell ref="D19:D20"/>
    <mergeCell ref="D27:D30"/>
    <mergeCell ref="C5:D5"/>
    <mergeCell ref="C6:D6"/>
    <mergeCell ref="C7:D7"/>
    <mergeCell ref="C8:D8"/>
    <mergeCell ref="C9:D9"/>
    <mergeCell ref="C10:D10"/>
    <mergeCell ref="C11:D11"/>
    <mergeCell ref="B49:D49"/>
    <mergeCell ref="B50:D50"/>
    <mergeCell ref="B51:D51"/>
    <mergeCell ref="B1:D1"/>
    <mergeCell ref="B2:D2"/>
    <mergeCell ref="B3:D3"/>
    <mergeCell ref="B15:D15"/>
    <mergeCell ref="B16:D16"/>
    <mergeCell ref="B46:D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371</v>
      </c>
      <c r="C3" s="269"/>
      <c r="D3" s="269"/>
    </row>
    <row r="4" spans="2:5" ht="15.75" thickBot="1">
      <c r="B4" s="57" t="s">
        <v>231</v>
      </c>
      <c r="C4" s="224">
        <f>'Свод 2021'!H22</f>
        <v>3218.2</v>
      </c>
      <c r="D4" s="215">
        <f>'Свод 2021'!J22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2021'!H22</f>
        <v>3218.2</v>
      </c>
      <c r="F5" s="22">
        <f>'Свод 2021'!J22</f>
        <v>21.73</v>
      </c>
    </row>
    <row r="6" spans="2:4" ht="30">
      <c r="B6" s="178" t="s">
        <v>338</v>
      </c>
      <c r="C6" s="277">
        <f>'Свод 2021'!K22</f>
        <v>107839.94000000018</v>
      </c>
      <c r="D6" s="278"/>
    </row>
    <row r="7" spans="2:4" ht="15">
      <c r="B7" s="40" t="s">
        <v>339</v>
      </c>
      <c r="C7" s="266">
        <f>'Свод 2021'!L22</f>
        <v>837561.36</v>
      </c>
      <c r="D7" s="267"/>
    </row>
    <row r="8" spans="2:4" ht="15">
      <c r="B8" s="40" t="s">
        <v>340</v>
      </c>
      <c r="C8" s="266">
        <f>'Свод 2021'!M22</f>
        <v>827956.74</v>
      </c>
      <c r="D8" s="267"/>
    </row>
    <row r="9" spans="2:4" ht="15">
      <c r="B9" s="40" t="s">
        <v>127</v>
      </c>
      <c r="C9" s="266">
        <f>'Свод 2021'!N22</f>
        <v>0</v>
      </c>
      <c r="D9" s="267"/>
    </row>
    <row r="10" spans="2:6" ht="28.5">
      <c r="B10" s="41" t="s">
        <v>147</v>
      </c>
      <c r="C10" s="279">
        <f>C6+C7-C8-C9</f>
        <v>117444.56000000017</v>
      </c>
      <c r="D10" s="280"/>
      <c r="E10" s="22">
        <f>'Свод 2021'!O22</f>
        <v>117444.56000000017</v>
      </c>
      <c r="F10" s="125"/>
    </row>
    <row r="11" spans="2:4" ht="30">
      <c r="B11" s="178" t="s">
        <v>323</v>
      </c>
      <c r="C11" s="266">
        <f>'Свод 2021'!Q22</f>
        <v>0</v>
      </c>
      <c r="D11" s="267"/>
    </row>
    <row r="12" spans="2:4" ht="15">
      <c r="B12" s="40" t="s">
        <v>342</v>
      </c>
      <c r="C12" s="266">
        <f>'Свод 2021'!R22</f>
        <v>1009.91</v>
      </c>
      <c r="D12" s="267"/>
    </row>
    <row r="13" spans="2:4" ht="15">
      <c r="B13" s="40" t="s">
        <v>343</v>
      </c>
      <c r="C13" s="266">
        <f>'Свод 2021'!S22</f>
        <v>1009.91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2021'!T22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2021'!W22</f>
        <v>235958.42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2021'!U22</f>
        <v>2703.29</v>
      </c>
    </row>
    <row r="22" spans="2:4" ht="15">
      <c r="B22" s="46" t="s">
        <v>134</v>
      </c>
      <c r="C22" s="47" t="s">
        <v>60</v>
      </c>
      <c r="D22" s="48">
        <f>'Свод 2021'!V22</f>
        <v>18100.69</v>
      </c>
    </row>
    <row r="23" spans="2:4" ht="30">
      <c r="B23" s="46" t="s">
        <v>161</v>
      </c>
      <c r="C23" s="94" t="s">
        <v>138</v>
      </c>
      <c r="D23" s="48">
        <f>'Свод 2021'!AA22+'Свод 2021'!Z22</f>
        <v>36687.48</v>
      </c>
    </row>
    <row r="24" spans="2:4" ht="28.5" customHeight="1">
      <c r="B24" s="124" t="s">
        <v>141</v>
      </c>
      <c r="C24" s="49" t="s">
        <v>140</v>
      </c>
      <c r="D24" s="207">
        <f>'Свод 2021'!AC22</f>
        <v>2267.81</v>
      </c>
    </row>
    <row r="25" spans="2:4" ht="28.5" customHeight="1">
      <c r="B25" s="154" t="s">
        <v>142</v>
      </c>
      <c r="C25" s="98" t="s">
        <v>143</v>
      </c>
      <c r="D25" s="213">
        <f>'Свод 2021'!AB22</f>
        <v>1544.74</v>
      </c>
    </row>
    <row r="26" spans="2:4" ht="21.75" customHeight="1">
      <c r="B26" s="200" t="s">
        <v>153</v>
      </c>
      <c r="C26" s="47" t="s">
        <v>59</v>
      </c>
      <c r="D26" s="201">
        <f>'Свод 2021'!AD22</f>
        <v>34994.100000000006</v>
      </c>
    </row>
    <row r="27" spans="2:4" ht="30.75" customHeight="1">
      <c r="B27" s="105" t="s">
        <v>144</v>
      </c>
      <c r="C27" s="164" t="s">
        <v>135</v>
      </c>
      <c r="D27" s="288">
        <f>'Свод 2021'!AE22</f>
        <v>125123.62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2021'!AG22</f>
        <v>55610.5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2021'!AI22</f>
        <v>120103.22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2021'!AK22</f>
        <v>69126.94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2021'!AL22</f>
        <v>32825.64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2021'!AM22</f>
        <v>56382.86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2021'!AJ22</f>
        <v>62947.99</v>
      </c>
      <c r="E42" s="22">
        <f>D43-C8-C13</f>
        <v>25410.650000000056</v>
      </c>
    </row>
    <row r="43" spans="2:5" ht="15" thickBot="1">
      <c r="B43" s="227" t="s">
        <v>252</v>
      </c>
      <c r="C43" s="228"/>
      <c r="D43" s="229">
        <f>SUM(D19:D42)</f>
        <v>854377.3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18" header="0.17" footer="0.1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372</v>
      </c>
      <c r="C3" s="269"/>
      <c r="D3" s="269"/>
    </row>
    <row r="4" spans="2:5" ht="15.75" thickBot="1">
      <c r="B4" s="57" t="s">
        <v>232</v>
      </c>
      <c r="C4" s="224">
        <f>'Свод 2021'!H23</f>
        <v>4406.8</v>
      </c>
      <c r="D4" s="215">
        <f>'Свод 2021'!J23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2021'!H23</f>
        <v>4406.8</v>
      </c>
      <c r="F5" s="22">
        <f>'Свод 2021'!J23</f>
        <v>20.88</v>
      </c>
    </row>
    <row r="6" spans="2:4" ht="30">
      <c r="B6" s="178" t="s">
        <v>338</v>
      </c>
      <c r="C6" s="277">
        <f>'Свод 2021'!K23</f>
        <v>153086.49</v>
      </c>
      <c r="D6" s="278"/>
    </row>
    <row r="7" spans="2:4" ht="15">
      <c r="B7" s="40" t="s">
        <v>339</v>
      </c>
      <c r="C7" s="266">
        <f>'Свод 2021'!L23</f>
        <v>1093243.68</v>
      </c>
      <c r="D7" s="267"/>
    </row>
    <row r="8" spans="2:4" ht="15">
      <c r="B8" s="40" t="s">
        <v>340</v>
      </c>
      <c r="C8" s="266">
        <f>'Свод 2021'!M23</f>
        <v>1044889.83</v>
      </c>
      <c r="D8" s="267"/>
    </row>
    <row r="9" spans="2:4" ht="15">
      <c r="B9" s="40" t="s">
        <v>127</v>
      </c>
      <c r="C9" s="266">
        <f>'Свод 2021'!N23</f>
        <v>0</v>
      </c>
      <c r="D9" s="267"/>
    </row>
    <row r="10" spans="2:6" ht="28.5">
      <c r="B10" s="41" t="s">
        <v>147</v>
      </c>
      <c r="C10" s="279">
        <f>C6+C7-C8-C9</f>
        <v>201440.33999999997</v>
      </c>
      <c r="D10" s="280"/>
      <c r="E10" s="22">
        <f>'Свод 2021'!O23</f>
        <v>201440.33999999997</v>
      </c>
      <c r="F10" s="125"/>
    </row>
    <row r="11" spans="2:4" ht="30">
      <c r="B11" s="178" t="s">
        <v>323</v>
      </c>
      <c r="C11" s="266">
        <f>'Свод 2021'!Q23</f>
        <v>2219.48</v>
      </c>
      <c r="D11" s="267"/>
    </row>
    <row r="12" spans="2:4" ht="15">
      <c r="B12" s="40" t="s">
        <v>342</v>
      </c>
      <c r="C12" s="266">
        <f>'Свод 2021'!R23</f>
        <v>22169.28</v>
      </c>
      <c r="D12" s="267"/>
    </row>
    <row r="13" spans="2:4" ht="15">
      <c r="B13" s="40" t="s">
        <v>343</v>
      </c>
      <c r="C13" s="266">
        <f>'Свод 2021'!S23</f>
        <v>23814.489999999998</v>
      </c>
      <c r="D13" s="267"/>
    </row>
    <row r="14" spans="2:6" ht="28.5">
      <c r="B14" s="41" t="s">
        <v>151</v>
      </c>
      <c r="C14" s="279">
        <f>C11+C12-C13</f>
        <v>574.2700000000004</v>
      </c>
      <c r="D14" s="280"/>
      <c r="E14" s="22">
        <f>'Свод 2021'!T23</f>
        <v>574.2700000000004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2021'!W23</f>
        <v>323106.58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2021'!U23</f>
        <v>3701.71</v>
      </c>
    </row>
    <row r="22" spans="2:4" ht="15">
      <c r="B22" s="46" t="s">
        <v>134</v>
      </c>
      <c r="C22" s="47" t="s">
        <v>60</v>
      </c>
      <c r="D22" s="48">
        <f>'Свод 2021'!V23</f>
        <v>48332.12</v>
      </c>
    </row>
    <row r="23" spans="2:4" ht="30">
      <c r="B23" s="46" t="s">
        <v>161</v>
      </c>
      <c r="C23" s="94" t="s">
        <v>138</v>
      </c>
      <c r="D23" s="48">
        <f>'Свод 2021'!AA23+'Свод 2021'!Z23</f>
        <v>50237.52</v>
      </c>
    </row>
    <row r="24" spans="2:4" ht="28.5" customHeight="1">
      <c r="B24" s="124" t="s">
        <v>141</v>
      </c>
      <c r="C24" s="49" t="s">
        <v>140</v>
      </c>
      <c r="D24" s="207">
        <f>'Свод 2021'!AC23</f>
        <v>2386.87</v>
      </c>
    </row>
    <row r="25" spans="2:4" ht="28.5" customHeight="1">
      <c r="B25" s="218" t="s">
        <v>142</v>
      </c>
      <c r="C25" s="49" t="s">
        <v>143</v>
      </c>
      <c r="D25" s="207">
        <f>'Свод 2021'!AB23</f>
        <v>2115.26</v>
      </c>
    </row>
    <row r="26" spans="2:4" ht="21.75" customHeight="1" thickBot="1">
      <c r="B26" s="172" t="s">
        <v>153</v>
      </c>
      <c r="C26" s="173" t="s">
        <v>59</v>
      </c>
      <c r="D26" s="174">
        <f>'Свод 2021'!AD23</f>
        <v>46535.81</v>
      </c>
    </row>
    <row r="27" spans="2:4" ht="30.75" customHeight="1">
      <c r="B27" s="95" t="s">
        <v>144</v>
      </c>
      <c r="C27" s="150" t="s">
        <v>135</v>
      </c>
      <c r="D27" s="291">
        <f>'Свод 2021'!AE23</f>
        <v>171336.38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2021'!AG23</f>
        <v>76149.5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2021'!AI23</f>
        <v>164461.78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2021'!AK23</f>
        <v>50237.52</v>
      </c>
    </row>
    <row r="37" spans="2:4" ht="15">
      <c r="B37" s="155" t="s">
        <v>233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2021'!AL23</f>
        <v>44420.54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2021'!AM23</f>
        <v>77207.14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2021'!AJ23</f>
        <v>86197.01</v>
      </c>
      <c r="E42" s="22">
        <f>D43-C8-C13</f>
        <v>77721.42000000004</v>
      </c>
    </row>
    <row r="43" spans="2:5" ht="15" thickBot="1">
      <c r="B43" s="227" t="s">
        <v>252</v>
      </c>
      <c r="C43" s="228"/>
      <c r="D43" s="229">
        <f>SUM(D19:D42)</f>
        <v>1146425.74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18" bottom="0.17" header="0.17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tabSelected="1" zoomScalePageLayoutView="0" workbookViewId="0" topLeftCell="A23">
      <selection activeCell="B16" sqref="B16:D16"/>
    </sheetView>
  </sheetViews>
  <sheetFormatPr defaultColWidth="9.00390625" defaultRowHeight="12.75"/>
  <cols>
    <col min="1" max="1" width="1.625" style="0" customWidth="1"/>
    <col min="2" max="2" width="58.625" style="0" customWidth="1"/>
    <col min="3" max="3" width="16.1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373</v>
      </c>
      <c r="C3" s="269"/>
      <c r="D3" s="269"/>
    </row>
    <row r="4" spans="2:5" ht="15.75" thickBot="1">
      <c r="B4" s="57" t="s">
        <v>234</v>
      </c>
      <c r="C4" s="224">
        <f>'Свод 2021'!H24</f>
        <v>2722</v>
      </c>
      <c r="D4" s="215">
        <f>'Свод 2021'!J24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2021'!H24</f>
        <v>2722</v>
      </c>
      <c r="F5" s="22">
        <f>'Свод 2021'!J23</f>
        <v>20.88</v>
      </c>
    </row>
    <row r="6" spans="2:4" ht="30">
      <c r="B6" s="178" t="s">
        <v>374</v>
      </c>
      <c r="C6" s="277">
        <f>'Свод 2021'!K24</f>
        <v>182973.74999999977</v>
      </c>
      <c r="D6" s="278"/>
    </row>
    <row r="7" spans="2:4" ht="15">
      <c r="B7" s="40" t="s">
        <v>339</v>
      </c>
      <c r="C7" s="266">
        <f>'Свод 2021'!L24</f>
        <v>681923.88</v>
      </c>
      <c r="D7" s="267"/>
    </row>
    <row r="8" spans="2:4" ht="15">
      <c r="B8" s="40" t="s">
        <v>340</v>
      </c>
      <c r="C8" s="266">
        <f>'Свод 2021'!M24</f>
        <v>689236.79</v>
      </c>
      <c r="D8" s="267"/>
    </row>
    <row r="9" spans="2:4" ht="15">
      <c r="B9" s="40" t="s">
        <v>127</v>
      </c>
      <c r="C9" s="266">
        <f>'Свод 2021'!N24</f>
        <v>0</v>
      </c>
      <c r="D9" s="267"/>
    </row>
    <row r="10" spans="2:6" ht="28.5">
      <c r="B10" s="41" t="s">
        <v>147</v>
      </c>
      <c r="C10" s="279">
        <f>C6+C7-C8-C9</f>
        <v>175660.83999999973</v>
      </c>
      <c r="D10" s="280"/>
      <c r="E10" s="22">
        <f>'Свод 2021'!O24</f>
        <v>175660.83999999973</v>
      </c>
      <c r="F10" s="125"/>
    </row>
    <row r="11" spans="2:4" ht="30">
      <c r="B11" s="178" t="s">
        <v>323</v>
      </c>
      <c r="C11" s="266">
        <f>'Свод 2021'!Q24</f>
        <v>1553.48</v>
      </c>
      <c r="D11" s="267"/>
    </row>
    <row r="12" spans="2:4" ht="15">
      <c r="B12" s="40" t="s">
        <v>342</v>
      </c>
      <c r="C12" s="266">
        <f>'Свод 2021'!R24</f>
        <v>4660.43</v>
      </c>
      <c r="D12" s="267"/>
    </row>
    <row r="13" spans="2:4" ht="15">
      <c r="B13" s="40" t="s">
        <v>343</v>
      </c>
      <c r="C13" s="266">
        <f>'Свод 2021'!S24</f>
        <v>5825.54</v>
      </c>
      <c r="D13" s="267"/>
    </row>
    <row r="14" spans="2:6" ht="28.5">
      <c r="B14" s="41" t="s">
        <v>151</v>
      </c>
      <c r="C14" s="279">
        <f>C11+C12-C13</f>
        <v>388.3699999999999</v>
      </c>
      <c r="D14" s="280"/>
      <c r="E14" s="22">
        <f>'Свод 2021'!T24</f>
        <v>388.3699999999999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2021'!W24</f>
        <v>199577.04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2021'!U24</f>
        <v>2286.48</v>
      </c>
    </row>
    <row r="22" spans="2:4" ht="15">
      <c r="B22" s="46" t="s">
        <v>134</v>
      </c>
      <c r="C22" s="47" t="s">
        <v>60</v>
      </c>
      <c r="D22" s="48">
        <f>'Свод 2021'!V24</f>
        <v>65711.45999999999</v>
      </c>
    </row>
    <row r="23" spans="2:4" ht="30">
      <c r="B23" s="46" t="s">
        <v>161</v>
      </c>
      <c r="C23" s="94" t="s">
        <v>138</v>
      </c>
      <c r="D23" s="48">
        <f>'Свод 2021'!AA24+'Свод 2021'!Z24</f>
        <v>31030.8</v>
      </c>
    </row>
    <row r="24" spans="2:4" ht="28.5" customHeight="1">
      <c r="B24" s="124" t="s">
        <v>141</v>
      </c>
      <c r="C24" s="49" t="s">
        <v>140</v>
      </c>
      <c r="D24" s="207">
        <f>'Свод 2021'!AC24</f>
        <v>2351.1</v>
      </c>
    </row>
    <row r="25" spans="2:4" ht="28.5" customHeight="1">
      <c r="B25" s="154" t="s">
        <v>142</v>
      </c>
      <c r="C25" s="98" t="s">
        <v>143</v>
      </c>
      <c r="D25" s="213">
        <f>'Свод 2021'!AB24</f>
        <v>1306.56</v>
      </c>
    </row>
    <row r="26" spans="2:4" ht="21.75" customHeight="1">
      <c r="B26" s="200" t="s">
        <v>153</v>
      </c>
      <c r="C26" s="47" t="s">
        <v>59</v>
      </c>
      <c r="D26" s="201">
        <f>'Свод 2021'!AD24</f>
        <v>28744.32</v>
      </c>
    </row>
    <row r="27" spans="2:4" ht="30.75" customHeight="1">
      <c r="B27" s="105" t="s">
        <v>144</v>
      </c>
      <c r="C27" s="164" t="s">
        <v>135</v>
      </c>
      <c r="D27" s="288">
        <f>'Свод 2021'!AE24</f>
        <v>105831.36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2021'!AG24</f>
        <v>47036.16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2021'!AI24</f>
        <v>101585.04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2021'!AK24</f>
        <v>31030.8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2021'!AL24</f>
        <v>27437.76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2021'!AM24</f>
        <v>47689.44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2021'!AJ24</f>
        <v>53242.32</v>
      </c>
      <c r="E42" s="22">
        <f>D43-C8-C13</f>
        <v>49798.309999999976</v>
      </c>
    </row>
    <row r="43" spans="2:5" ht="15" thickBot="1">
      <c r="B43" s="227" t="s">
        <v>252</v>
      </c>
      <c r="C43" s="228"/>
      <c r="D43" s="229">
        <f>SUM(D19:D42)</f>
        <v>744860.64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3" bottom="0.42" header="0.1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369</v>
      </c>
      <c r="C3" s="269"/>
      <c r="D3" s="269"/>
    </row>
    <row r="4" spans="2:5" ht="15.75" thickBot="1">
      <c r="B4" s="57" t="s">
        <v>235</v>
      </c>
      <c r="C4" s="224">
        <f>'Свод 2021'!H25</f>
        <v>3057.8</v>
      </c>
      <c r="D4" s="215">
        <f>'Свод 2021'!J25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2021'!H25</f>
        <v>3057.8</v>
      </c>
      <c r="F5" s="22">
        <f>'Свод 2021'!J25</f>
        <v>21.73</v>
      </c>
    </row>
    <row r="6" spans="2:4" ht="30">
      <c r="B6" s="178" t="s">
        <v>338</v>
      </c>
      <c r="C6" s="277">
        <f>'Свод 2021'!K25</f>
        <v>79152.22999999986</v>
      </c>
      <c r="D6" s="278"/>
    </row>
    <row r="7" spans="2:4" ht="15">
      <c r="B7" s="40" t="s">
        <v>339</v>
      </c>
      <c r="C7" s="266">
        <f>'Свод 2021'!L25</f>
        <v>797353.08</v>
      </c>
      <c r="D7" s="267"/>
    </row>
    <row r="8" spans="2:4" ht="15">
      <c r="B8" s="40" t="s">
        <v>340</v>
      </c>
      <c r="C8" s="266">
        <f>'Свод 2021'!M25</f>
        <v>776877.8</v>
      </c>
      <c r="D8" s="267"/>
    </row>
    <row r="9" spans="2:4" ht="15">
      <c r="B9" s="40" t="s">
        <v>127</v>
      </c>
      <c r="C9" s="266">
        <f>'Свод 2021'!N25</f>
        <v>0</v>
      </c>
      <c r="D9" s="267"/>
    </row>
    <row r="10" spans="2:6" ht="28.5">
      <c r="B10" s="41" t="s">
        <v>147</v>
      </c>
      <c r="C10" s="279">
        <f>C6+C7-C8-C9</f>
        <v>99627.50999999978</v>
      </c>
      <c r="D10" s="280"/>
      <c r="E10" s="22">
        <f>'Свод 2021'!O25</f>
        <v>99627.50999999978</v>
      </c>
      <c r="F10" s="125"/>
    </row>
    <row r="11" spans="2:4" ht="30">
      <c r="B11" s="178" t="s">
        <v>323</v>
      </c>
      <c r="C11" s="266">
        <f>'Свод 2021'!Q25</f>
        <v>1553.48</v>
      </c>
      <c r="D11" s="267"/>
    </row>
    <row r="12" spans="2:4" ht="15">
      <c r="B12" s="40" t="s">
        <v>342</v>
      </c>
      <c r="C12" s="266">
        <f>'Свод 2021'!R25</f>
        <v>5619.88</v>
      </c>
      <c r="D12" s="267"/>
    </row>
    <row r="13" spans="2:4" ht="15">
      <c r="B13" s="40" t="s">
        <v>343</v>
      </c>
      <c r="C13" s="266">
        <f>'Свод 2021'!S25</f>
        <v>6784.99</v>
      </c>
      <c r="D13" s="267"/>
    </row>
    <row r="14" spans="2:6" ht="28.5">
      <c r="B14" s="41" t="s">
        <v>151</v>
      </c>
      <c r="C14" s="279">
        <f>C11+C12-C13</f>
        <v>388.3700000000008</v>
      </c>
      <c r="D14" s="280"/>
      <c r="E14" s="22">
        <f>'Свод 2021'!T25</f>
        <v>388.3700000000008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2021'!W25</f>
        <v>224197.9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2021'!U25</f>
        <v>2568.55</v>
      </c>
    </row>
    <row r="22" spans="2:4" ht="15">
      <c r="B22" s="46" t="s">
        <v>134</v>
      </c>
      <c r="C22" s="47" t="s">
        <v>60</v>
      </c>
      <c r="D22" s="48">
        <f>'Свод 2021'!V25</f>
        <v>31168.699999999997</v>
      </c>
    </row>
    <row r="23" spans="2:4" ht="30">
      <c r="B23" s="46" t="s">
        <v>161</v>
      </c>
      <c r="C23" s="94" t="s">
        <v>138</v>
      </c>
      <c r="D23" s="48">
        <f>'Свод 2021'!AA25+'Свод 2021'!Z25</f>
        <v>34858.920000000006</v>
      </c>
    </row>
    <row r="24" spans="2:4" ht="28.5" customHeight="1">
      <c r="B24" s="124" t="s">
        <v>141</v>
      </c>
      <c r="C24" s="49" t="s">
        <v>140</v>
      </c>
      <c r="D24" s="207">
        <f>'Свод 2021'!AC25</f>
        <v>1594.29</v>
      </c>
    </row>
    <row r="25" spans="2:4" ht="28.5" customHeight="1">
      <c r="B25" s="154" t="s">
        <v>142</v>
      </c>
      <c r="C25" s="98" t="s">
        <v>143</v>
      </c>
      <c r="D25" s="213">
        <f>'Свод 2021'!AB25</f>
        <v>1467.74</v>
      </c>
    </row>
    <row r="26" spans="2:4" ht="21.75" customHeight="1">
      <c r="B26" s="200" t="s">
        <v>153</v>
      </c>
      <c r="C26" s="47" t="s">
        <v>59</v>
      </c>
      <c r="D26" s="201">
        <f>'Свод 2021'!AD25</f>
        <v>32290.37</v>
      </c>
    </row>
    <row r="27" spans="2:4" ht="30.75" customHeight="1">
      <c r="B27" s="105" t="s">
        <v>144</v>
      </c>
      <c r="C27" s="164" t="s">
        <v>135</v>
      </c>
      <c r="D27" s="288">
        <f>'Свод 2021'!AE25</f>
        <v>118887.26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2021'!AG25</f>
        <v>52838.78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2021'!AI25</f>
        <v>121214.6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2021'!AK25</f>
        <v>65681.54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2021'!AL25</f>
        <v>31189.56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2021'!AM25</f>
        <v>53572.66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2021'!AJ25</f>
        <v>59810.57</v>
      </c>
      <c r="E42" s="22">
        <f>D43-C8-C13</f>
        <v>47678.6499999999</v>
      </c>
    </row>
    <row r="43" spans="2:5" ht="15" thickBot="1">
      <c r="B43" s="227" t="s">
        <v>252</v>
      </c>
      <c r="C43" s="228"/>
      <c r="D43" s="229">
        <f>SUM(D19:D42)</f>
        <v>831341.44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1" bottom="0.3" header="0.17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8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0.875" style="0" customWidth="1"/>
    <col min="2" max="2" width="63.875" style="0" customWidth="1"/>
    <col min="3" max="3" width="21.375" style="0" customWidth="1"/>
    <col min="4" max="4" width="14.75390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375</v>
      </c>
      <c r="C3" s="269"/>
      <c r="D3" s="269"/>
    </row>
    <row r="4" spans="2:5" ht="15.75" thickBot="1">
      <c r="B4" s="57" t="s">
        <v>236</v>
      </c>
      <c r="C4" s="224">
        <f>'Свод 2021'!H26</f>
        <v>5970.1</v>
      </c>
      <c r="D4" s="215">
        <f>'Свод 2021'!J26</f>
        <v>25.92</v>
      </c>
      <c r="E4" s="22"/>
    </row>
    <row r="5" spans="2:6" ht="17.25" customHeight="1" thickBot="1">
      <c r="B5" s="36" t="s">
        <v>54</v>
      </c>
      <c r="C5" s="275" t="s">
        <v>150</v>
      </c>
      <c r="D5" s="276"/>
      <c r="E5" s="22"/>
      <c r="F5" s="22"/>
    </row>
    <row r="6" spans="2:4" ht="15.75" customHeight="1">
      <c r="B6" s="178" t="s">
        <v>338</v>
      </c>
      <c r="C6" s="277">
        <f>'Свод 2021'!K26</f>
        <v>330930.65999999945</v>
      </c>
      <c r="D6" s="278"/>
    </row>
    <row r="7" spans="2:4" ht="15">
      <c r="B7" s="40" t="s">
        <v>339</v>
      </c>
      <c r="C7" s="266">
        <f>'Свод 2021'!L26</f>
        <v>1794397.01</v>
      </c>
      <c r="D7" s="267"/>
    </row>
    <row r="8" spans="2:4" ht="15">
      <c r="B8" s="40" t="s">
        <v>340</v>
      </c>
      <c r="C8" s="266">
        <f>'Свод 2021'!M26</f>
        <v>1776850.73</v>
      </c>
      <c r="D8" s="267"/>
    </row>
    <row r="9" spans="2:4" ht="15">
      <c r="B9" s="40" t="s">
        <v>127</v>
      </c>
      <c r="C9" s="266">
        <f>'Свод 2021'!N26</f>
        <v>0</v>
      </c>
      <c r="D9" s="267"/>
    </row>
    <row r="10" spans="2:6" ht="27.75" customHeight="1">
      <c r="B10" s="41" t="s">
        <v>147</v>
      </c>
      <c r="C10" s="279">
        <f>C6+C7-C8-C9</f>
        <v>348476.9399999995</v>
      </c>
      <c r="D10" s="280"/>
      <c r="E10" s="22"/>
      <c r="F10" s="125"/>
    </row>
    <row r="11" spans="2:4" ht="16.5" customHeight="1">
      <c r="B11" s="178" t="s">
        <v>341</v>
      </c>
      <c r="C11" s="266">
        <f>'Свод 2021'!Q26</f>
        <v>0</v>
      </c>
      <c r="D11" s="267"/>
    </row>
    <row r="12" spans="2:4" ht="15">
      <c r="B12" s="40" t="s">
        <v>342</v>
      </c>
      <c r="C12" s="266">
        <f>'Свод 2021'!R26</f>
        <v>0</v>
      </c>
      <c r="D12" s="267"/>
    </row>
    <row r="13" spans="2:4" ht="15">
      <c r="B13" s="40" t="s">
        <v>343</v>
      </c>
      <c r="C13" s="266">
        <f>'Свод 2021'!S26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/>
      <c r="F14" s="22"/>
    </row>
    <row r="15" spans="2:4" ht="14.25">
      <c r="B15" s="271" t="s">
        <v>79</v>
      </c>
      <c r="C15" s="272"/>
      <c r="D15" s="273"/>
    </row>
    <row r="16" spans="2:4" ht="14.25" customHeight="1">
      <c r="B16" s="271" t="s">
        <v>344</v>
      </c>
      <c r="C16" s="272"/>
      <c r="D16" s="273"/>
    </row>
    <row r="17" spans="2:4" ht="13.5" customHeight="1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2021'!W26</f>
        <v>298743.8</v>
      </c>
    </row>
    <row r="20" spans="2:4" ht="15.75" thickBot="1">
      <c r="B20" s="158" t="s">
        <v>152</v>
      </c>
      <c r="C20" s="97" t="s">
        <v>143</v>
      </c>
      <c r="D20" s="289"/>
    </row>
    <row r="21" spans="2:4" ht="30">
      <c r="B21" s="105" t="s">
        <v>160</v>
      </c>
      <c r="C21" s="106" t="s">
        <v>157</v>
      </c>
      <c r="D21" s="170">
        <f>'Свод 2021'!U26</f>
        <v>5014.88</v>
      </c>
    </row>
    <row r="22" spans="2:4" ht="30">
      <c r="B22" s="46" t="s">
        <v>134</v>
      </c>
      <c r="C22" s="47" t="s">
        <v>60</v>
      </c>
      <c r="D22" s="48">
        <f>'Свод 2021'!V26</f>
        <v>28994.32</v>
      </c>
    </row>
    <row r="23" spans="2:4" ht="30">
      <c r="B23" s="46" t="s">
        <v>161</v>
      </c>
      <c r="C23" s="94" t="s">
        <v>138</v>
      </c>
      <c r="D23" s="48">
        <f>'Свод 2021'!AA26+'Свод 2021'!Z26</f>
        <v>68059.13</v>
      </c>
    </row>
    <row r="24" spans="2:4" ht="18.75" customHeight="1">
      <c r="B24" s="124" t="s">
        <v>141</v>
      </c>
      <c r="C24" s="197" t="s">
        <v>140</v>
      </c>
      <c r="D24" s="207">
        <f>'Свод 2021'!AC26</f>
        <v>2899.2299999999996</v>
      </c>
    </row>
    <row r="25" spans="2:4" ht="16.5" customHeight="1">
      <c r="B25" s="154" t="s">
        <v>142</v>
      </c>
      <c r="C25" s="98" t="s">
        <v>143</v>
      </c>
      <c r="D25" s="213">
        <f>'Свод 2021'!AB26</f>
        <v>2865.65</v>
      </c>
    </row>
    <row r="26" spans="2:4" ht="14.25" customHeight="1">
      <c r="B26" s="200" t="s">
        <v>153</v>
      </c>
      <c r="C26" s="47" t="s">
        <v>59</v>
      </c>
      <c r="D26" s="201">
        <f>'Свод 2021'!AD26</f>
        <v>63044.26</v>
      </c>
    </row>
    <row r="27" spans="2:4" ht="30.75" customHeight="1">
      <c r="B27" s="105" t="s">
        <v>144</v>
      </c>
      <c r="C27" s="164" t="s">
        <v>135</v>
      </c>
      <c r="D27" s="288">
        <f>'Свод 2021'!AE26</f>
        <v>232117.49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18" customHeight="1" thickBot="1">
      <c r="B30" s="177" t="s">
        <v>4</v>
      </c>
      <c r="C30" s="196" t="s">
        <v>5</v>
      </c>
      <c r="D30" s="289"/>
    </row>
    <row r="31" spans="2:4" ht="17.25" customHeight="1" thickBot="1">
      <c r="B31" s="190" t="s">
        <v>158</v>
      </c>
      <c r="C31" s="191" t="s">
        <v>166</v>
      </c>
      <c r="D31" s="192">
        <f>'Свод 2021'!AG26</f>
        <v>103163.33</v>
      </c>
    </row>
    <row r="32" spans="2:4" ht="15.75" customHeight="1" thickBot="1">
      <c r="B32" s="193" t="s">
        <v>191</v>
      </c>
      <c r="C32" s="191" t="s">
        <v>166</v>
      </c>
      <c r="D32" s="194">
        <f>'Свод 2021'!Y26</f>
        <v>476109.7</v>
      </c>
    </row>
    <row r="33" spans="2:4" ht="26.25" customHeight="1">
      <c r="B33" s="189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2021'!AI26</f>
        <v>151162.93</v>
      </c>
    </row>
    <row r="35" spans="2:4" ht="45" customHeight="1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306</v>
      </c>
      <c r="C37" s="159" t="s">
        <v>139</v>
      </c>
      <c r="D37" s="160">
        <f>'Свод 2021'!AK26</f>
        <v>128237.75</v>
      </c>
    </row>
    <row r="38" spans="2:4" ht="15">
      <c r="B38" s="155" t="s">
        <v>130</v>
      </c>
      <c r="C38" s="161"/>
      <c r="D38" s="162"/>
    </row>
    <row r="39" spans="2:4" ht="42.75" customHeight="1" thickBot="1">
      <c r="B39" s="158" t="s">
        <v>307</v>
      </c>
      <c r="C39" s="159" t="s">
        <v>139</v>
      </c>
      <c r="D39" s="163">
        <f>'Свод 2021'!AL26</f>
        <v>60895.02</v>
      </c>
    </row>
    <row r="40" spans="2:4" ht="15">
      <c r="B40" s="155" t="s">
        <v>131</v>
      </c>
      <c r="C40" s="165"/>
      <c r="D40" s="166"/>
    </row>
    <row r="41" spans="2:4" ht="45" customHeight="1" thickBot="1">
      <c r="B41" s="158" t="s">
        <v>148</v>
      </c>
      <c r="C41" s="159" t="s">
        <v>139</v>
      </c>
      <c r="D41" s="163">
        <f>'Свод 2021'!AM26</f>
        <v>104596.15</v>
      </c>
    </row>
    <row r="42" spans="2:4" ht="19.5" customHeight="1">
      <c r="B42" s="167" t="s">
        <v>149</v>
      </c>
      <c r="C42" s="150"/>
      <c r="D42" s="168"/>
    </row>
    <row r="43" spans="2:5" ht="92.25" customHeight="1" thickBot="1">
      <c r="B43" s="158" t="s">
        <v>163</v>
      </c>
      <c r="C43" s="159" t="s">
        <v>139</v>
      </c>
      <c r="D43" s="104">
        <f>'Свод 2021'!AJ26</f>
        <v>116775.16</v>
      </c>
      <c r="E43" s="22">
        <f>D44-C8-C13</f>
        <v>65828.06999999983</v>
      </c>
    </row>
    <row r="44" spans="2:5" ht="17.25" customHeight="1" thickBot="1">
      <c r="B44" s="227" t="s">
        <v>252</v>
      </c>
      <c r="C44" s="228"/>
      <c r="D44" s="229">
        <f>SUM(D19:D43)</f>
        <v>1842678.7999999998</v>
      </c>
      <c r="E44" s="22"/>
    </row>
    <row r="45" spans="2:4" ht="15" customHeight="1">
      <c r="B45" s="169" t="s">
        <v>145</v>
      </c>
      <c r="C45" s="284" t="s">
        <v>146</v>
      </c>
      <c r="D45" s="285"/>
    </row>
    <row r="46" spans="2:4" ht="27.75" customHeight="1">
      <c r="B46" s="187" t="s">
        <v>159</v>
      </c>
      <c r="C46" s="294"/>
      <c r="D46" s="295"/>
    </row>
    <row r="47" spans="2:4" ht="54.75" customHeight="1">
      <c r="B47" s="195" t="s">
        <v>184</v>
      </c>
      <c r="C47" s="292" t="s">
        <v>185</v>
      </c>
      <c r="D47" s="292"/>
    </row>
    <row r="48" spans="2:4" ht="41.25" customHeight="1">
      <c r="B48" s="195" t="s">
        <v>186</v>
      </c>
      <c r="C48" s="292" t="s">
        <v>185</v>
      </c>
      <c r="D48" s="292"/>
    </row>
    <row r="49" spans="2:4" ht="68.25" customHeight="1">
      <c r="B49" s="195" t="s">
        <v>187</v>
      </c>
      <c r="C49" s="188" t="s">
        <v>329</v>
      </c>
      <c r="D49" s="188" t="s">
        <v>188</v>
      </c>
    </row>
    <row r="50" spans="2:4" ht="27" customHeight="1">
      <c r="B50" s="195" t="s">
        <v>189</v>
      </c>
      <c r="C50" s="292" t="s">
        <v>185</v>
      </c>
      <c r="D50" s="292"/>
    </row>
    <row r="51" spans="2:4" ht="65.25" customHeight="1">
      <c r="B51" s="195" t="s">
        <v>190</v>
      </c>
      <c r="C51" s="292" t="s">
        <v>185</v>
      </c>
      <c r="D51" s="292"/>
    </row>
    <row r="52" spans="2:4" ht="53.25" customHeight="1">
      <c r="B52" s="195" t="s">
        <v>192</v>
      </c>
      <c r="C52" s="292" t="s">
        <v>185</v>
      </c>
      <c r="D52" s="292"/>
    </row>
    <row r="53" spans="2:4" ht="23.25" customHeight="1">
      <c r="B53" s="195" t="s">
        <v>193</v>
      </c>
      <c r="C53" s="292" t="s">
        <v>185</v>
      </c>
      <c r="D53" s="292"/>
    </row>
    <row r="54" spans="2:4" ht="14.25">
      <c r="B54" s="274" t="s">
        <v>214</v>
      </c>
      <c r="C54" s="274"/>
      <c r="D54" s="274"/>
    </row>
    <row r="55" spans="2:4" ht="3" customHeight="1">
      <c r="B55" s="121"/>
      <c r="C55" s="121"/>
      <c r="D55" s="121"/>
    </row>
    <row r="56" spans="2:4" ht="7.5" customHeight="1" hidden="1">
      <c r="B56" s="19"/>
      <c r="C56" s="19"/>
      <c r="D56" s="18"/>
    </row>
    <row r="57" spans="2:4" ht="18.75">
      <c r="B57" s="293" t="s">
        <v>87</v>
      </c>
      <c r="C57" s="293"/>
      <c r="D57" s="293"/>
    </row>
    <row r="58" spans="2:4" ht="18.75">
      <c r="B58" s="293" t="s">
        <v>50</v>
      </c>
      <c r="C58" s="293"/>
      <c r="D58" s="293"/>
    </row>
    <row r="59" spans="2:4" ht="18.75">
      <c r="B59" s="293" t="s">
        <v>49</v>
      </c>
      <c r="C59" s="293"/>
      <c r="D59" s="293"/>
    </row>
    <row r="60" spans="2:4" ht="6.75" customHeight="1">
      <c r="B60" s="101"/>
      <c r="C60" s="101"/>
      <c r="D60" s="101"/>
    </row>
    <row r="61" spans="2:4" ht="3.75" customHeight="1">
      <c r="B61" s="101"/>
      <c r="C61" s="101"/>
      <c r="D61" s="101"/>
    </row>
    <row r="62" spans="2:3" ht="15.75">
      <c r="B62" s="102" t="s">
        <v>64</v>
      </c>
      <c r="C62" s="102"/>
    </row>
    <row r="68" ht="30.75" customHeight="1">
      <c r="B68" s="103"/>
    </row>
  </sheetData>
  <sheetProtection/>
  <mergeCells count="30">
    <mergeCell ref="C9:D9"/>
    <mergeCell ref="C10:D10"/>
    <mergeCell ref="C45:D46"/>
    <mergeCell ref="C51:D51"/>
    <mergeCell ref="C52:D52"/>
    <mergeCell ref="C50:D50"/>
    <mergeCell ref="D27:D30"/>
    <mergeCell ref="C12:D12"/>
    <mergeCell ref="B15:D15"/>
    <mergeCell ref="B16:D16"/>
    <mergeCell ref="B59:D59"/>
    <mergeCell ref="B58:D58"/>
    <mergeCell ref="C48:D48"/>
    <mergeCell ref="C11:D11"/>
    <mergeCell ref="B57:D57"/>
    <mergeCell ref="C53:D53"/>
    <mergeCell ref="B54:D54"/>
    <mergeCell ref="C17:C18"/>
    <mergeCell ref="D17:D18"/>
    <mergeCell ref="D19:D20"/>
    <mergeCell ref="B1:D1"/>
    <mergeCell ref="B2:D2"/>
    <mergeCell ref="B3:D3"/>
    <mergeCell ref="C5:D5"/>
    <mergeCell ref="C14:D14"/>
    <mergeCell ref="C47:D47"/>
    <mergeCell ref="C13:D13"/>
    <mergeCell ref="C6:D6"/>
    <mergeCell ref="C7:D7"/>
    <mergeCell ref="C8:D8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376</v>
      </c>
      <c r="C3" s="269"/>
      <c r="D3" s="269"/>
    </row>
    <row r="4" spans="2:5" ht="15.75" thickBot="1">
      <c r="B4" s="57" t="s">
        <v>237</v>
      </c>
      <c r="C4" s="224">
        <f>'Свод 2021'!H27</f>
        <v>3312.2</v>
      </c>
      <c r="D4" s="215">
        <f>'Свод 2021'!J27</f>
        <v>22.4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2021'!H27</f>
        <v>3312.2</v>
      </c>
      <c r="F5" s="22">
        <f>'Свод 2021'!J26</f>
        <v>25.92</v>
      </c>
    </row>
    <row r="6" spans="2:4" ht="30">
      <c r="B6" s="178" t="s">
        <v>338</v>
      </c>
      <c r="C6" s="277">
        <f>'Свод 2021'!K27</f>
        <v>149287.54999999993</v>
      </c>
      <c r="D6" s="278"/>
    </row>
    <row r="7" spans="2:4" ht="15">
      <c r="B7" s="40" t="s">
        <v>339</v>
      </c>
      <c r="C7" s="266">
        <f>'Свод 2021'!L27</f>
        <v>908328.96</v>
      </c>
      <c r="D7" s="267"/>
    </row>
    <row r="8" spans="2:4" ht="15">
      <c r="B8" s="40" t="s">
        <v>340</v>
      </c>
      <c r="C8" s="266">
        <f>'Свод 2021'!M27</f>
        <v>913104.74</v>
      </c>
      <c r="D8" s="267"/>
    </row>
    <row r="9" spans="2:4" ht="15">
      <c r="B9" s="40" t="s">
        <v>127</v>
      </c>
      <c r="C9" s="266">
        <f>'Свод 2021'!N27</f>
        <v>0</v>
      </c>
      <c r="D9" s="267"/>
    </row>
    <row r="10" spans="2:6" ht="28.5">
      <c r="B10" s="41" t="s">
        <v>147</v>
      </c>
      <c r="C10" s="279">
        <f>C6+C7-C8-C9</f>
        <v>144511.7699999998</v>
      </c>
      <c r="D10" s="280"/>
      <c r="E10" s="22">
        <f>'Свод 2021'!O27</f>
        <v>144511.7699999998</v>
      </c>
      <c r="F10" s="125"/>
    </row>
    <row r="11" spans="2:4" ht="30">
      <c r="B11" s="178" t="s">
        <v>323</v>
      </c>
      <c r="C11" s="266">
        <f>'Свод 2021'!Q27</f>
        <v>0</v>
      </c>
      <c r="D11" s="267"/>
    </row>
    <row r="12" spans="2:4" ht="15">
      <c r="B12" s="40" t="s">
        <v>342</v>
      </c>
      <c r="C12" s="266">
        <f>'Свод 2021'!R27</f>
        <v>0</v>
      </c>
      <c r="D12" s="267"/>
    </row>
    <row r="13" spans="2:4" ht="15">
      <c r="B13" s="40" t="s">
        <v>343</v>
      </c>
      <c r="C13" s="266">
        <f>'Свод 2021'!S27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2021'!T27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2021'!W27</f>
        <v>242850.5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2021'!U27</f>
        <v>2782.25</v>
      </c>
    </row>
    <row r="22" spans="2:4" ht="15">
      <c r="B22" s="46" t="s">
        <v>134</v>
      </c>
      <c r="C22" s="47" t="s">
        <v>60</v>
      </c>
      <c r="D22" s="48">
        <f>'Свод 2021'!V27</f>
        <v>34445.98</v>
      </c>
    </row>
    <row r="23" spans="2:4" ht="30">
      <c r="B23" s="46" t="s">
        <v>161</v>
      </c>
      <c r="C23" s="94" t="s">
        <v>138</v>
      </c>
      <c r="D23" s="48">
        <f>'Свод 2021'!AA27+'Свод 2021'!Z27</f>
        <v>37759.08</v>
      </c>
    </row>
    <row r="24" spans="2:4" ht="28.5" customHeight="1">
      <c r="B24" s="124" t="s">
        <v>141</v>
      </c>
      <c r="C24" s="49" t="s">
        <v>140</v>
      </c>
      <c r="D24" s="207">
        <f>'Свод 2021'!AC27</f>
        <v>8484.19</v>
      </c>
    </row>
    <row r="25" spans="2:4" ht="28.5" customHeight="1">
      <c r="B25" s="154" t="s">
        <v>142</v>
      </c>
      <c r="C25" s="98" t="s">
        <v>143</v>
      </c>
      <c r="D25" s="213">
        <f>'Свод 2021'!AB27</f>
        <v>1589.86</v>
      </c>
    </row>
    <row r="26" spans="2:4" ht="21.75" customHeight="1">
      <c r="B26" s="200" t="s">
        <v>153</v>
      </c>
      <c r="C26" s="47" t="s">
        <v>59</v>
      </c>
      <c r="D26" s="201">
        <f>'Свод 2021'!AD27</f>
        <v>34976.83</v>
      </c>
    </row>
    <row r="27" spans="2:4" ht="30.75" customHeight="1">
      <c r="B27" s="105" t="s">
        <v>144</v>
      </c>
      <c r="C27" s="164" t="s">
        <v>135</v>
      </c>
      <c r="D27" s="288">
        <f>'Свод 2021'!AE27</f>
        <v>128778.34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2021'!AG27</f>
        <v>57234.82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2021'!AI27</f>
        <v>123611.3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2021'!AK27</f>
        <v>81146.06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2021'!AL27</f>
        <v>60414.53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2021'!AM27</f>
        <v>58029.74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2021'!AJ27</f>
        <v>74786.63</v>
      </c>
      <c r="E42" s="22">
        <f>D43-C8-C13</f>
        <v>33785.369999999995</v>
      </c>
    </row>
    <row r="43" spans="2:5" ht="15" thickBot="1">
      <c r="B43" s="227" t="s">
        <v>252</v>
      </c>
      <c r="C43" s="228"/>
      <c r="D43" s="229">
        <f>SUM(D19:D42)</f>
        <v>946890.11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322</v>
      </c>
      <c r="C3" s="269"/>
      <c r="D3" s="269"/>
    </row>
    <row r="4" spans="2:5" ht="15.75" thickBot="1">
      <c r="B4" s="57" t="s">
        <v>238</v>
      </c>
      <c r="C4" s="224">
        <f>'Свод 2021'!H28</f>
        <v>3530.6</v>
      </c>
      <c r="D4" s="215">
        <f>'Свод 2021'!J28</f>
        <v>22.4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2021'!H27</f>
        <v>3312.2</v>
      </c>
      <c r="F5" s="22">
        <f>'Свод 2021'!J26</f>
        <v>25.92</v>
      </c>
    </row>
    <row r="6" spans="2:4" ht="30">
      <c r="B6" s="178" t="s">
        <v>311</v>
      </c>
      <c r="C6" s="277">
        <f>'Свод 2021'!K28</f>
        <v>184018.2400000001</v>
      </c>
      <c r="D6" s="278"/>
    </row>
    <row r="7" spans="2:4" ht="15">
      <c r="B7" s="40" t="s">
        <v>312</v>
      </c>
      <c r="C7" s="266">
        <f>'Свод 2021'!L28</f>
        <v>949025.28</v>
      </c>
      <c r="D7" s="267"/>
    </row>
    <row r="8" spans="2:4" ht="15">
      <c r="B8" s="40" t="s">
        <v>313</v>
      </c>
      <c r="C8" s="266">
        <f>'Свод 2021'!M28</f>
        <v>889601.29</v>
      </c>
      <c r="D8" s="267"/>
    </row>
    <row r="9" spans="2:4" ht="15">
      <c r="B9" s="40" t="s">
        <v>127</v>
      </c>
      <c r="C9" s="266">
        <f>'Свод 2021'!N28</f>
        <v>0</v>
      </c>
      <c r="D9" s="267"/>
    </row>
    <row r="10" spans="2:6" ht="28.5">
      <c r="B10" s="41" t="s">
        <v>147</v>
      </c>
      <c r="C10" s="279">
        <f>C6+C7-C8-C9</f>
        <v>243442.22999999998</v>
      </c>
      <c r="D10" s="280"/>
      <c r="E10" s="22">
        <f>'Свод 2021'!O27</f>
        <v>144511.7699999998</v>
      </c>
      <c r="F10" s="125"/>
    </row>
    <row r="11" spans="2:4" ht="30">
      <c r="B11" s="178" t="s">
        <v>323</v>
      </c>
      <c r="C11" s="266">
        <f>'Свод 2021'!Q27</f>
        <v>0</v>
      </c>
      <c r="D11" s="267"/>
    </row>
    <row r="12" spans="2:4" ht="15">
      <c r="B12" s="40" t="s">
        <v>314</v>
      </c>
      <c r="C12" s="266">
        <f>'Свод 2021'!R27</f>
        <v>0</v>
      </c>
      <c r="D12" s="267"/>
    </row>
    <row r="13" spans="2:4" ht="15">
      <c r="B13" s="40" t="s">
        <v>315</v>
      </c>
      <c r="C13" s="266">
        <f>'Свод 2021'!S27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2021'!T27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316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2021'!W28</f>
        <v>258863.59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2021'!U28</f>
        <v>2965.7</v>
      </c>
    </row>
    <row r="22" spans="2:4" ht="15">
      <c r="B22" s="46" t="s">
        <v>134</v>
      </c>
      <c r="C22" s="47" t="s">
        <v>60</v>
      </c>
      <c r="D22" s="48">
        <f>'Свод 2021'!V28</f>
        <v>5507.74</v>
      </c>
    </row>
    <row r="23" spans="2:4" ht="30">
      <c r="B23" s="46" t="s">
        <v>161</v>
      </c>
      <c r="C23" s="94" t="s">
        <v>138</v>
      </c>
      <c r="D23" s="48">
        <f>'Свод 2021'!AA28+'Свод 2021'!Z28</f>
        <v>40248.83</v>
      </c>
    </row>
    <row r="24" spans="2:4" ht="28.5" customHeight="1">
      <c r="B24" s="124" t="s">
        <v>141</v>
      </c>
      <c r="C24" s="49" t="s">
        <v>140</v>
      </c>
      <c r="D24" s="207">
        <f>'Свод 2021'!AC28</f>
        <v>3850.42</v>
      </c>
    </row>
    <row r="25" spans="2:4" ht="28.5" customHeight="1">
      <c r="B25" s="154" t="s">
        <v>142</v>
      </c>
      <c r="C25" s="98" t="s">
        <v>143</v>
      </c>
      <c r="D25" s="213">
        <f>'Свод 2021'!AB28</f>
        <v>1694.69</v>
      </c>
    </row>
    <row r="26" spans="2:4" ht="21.75" customHeight="1">
      <c r="B26" s="200" t="s">
        <v>153</v>
      </c>
      <c r="C26" s="47" t="s">
        <v>59</v>
      </c>
      <c r="D26" s="201">
        <f>'Свод 2021'!AD28</f>
        <v>37283.14</v>
      </c>
    </row>
    <row r="27" spans="2:4" ht="30.75" customHeight="1">
      <c r="B27" s="105" t="s">
        <v>144</v>
      </c>
      <c r="C27" s="164" t="s">
        <v>135</v>
      </c>
      <c r="D27" s="288">
        <f>'Свод 2021'!AE28</f>
        <v>137269.73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2021'!AG28</f>
        <v>61008.77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2021'!AI28</f>
        <v>131761.99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2021'!AK28</f>
        <v>75837.29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2021'!AL28</f>
        <v>64398.14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2021'!AM28</f>
        <v>61856.11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2021'!AJ28</f>
        <v>69058.54</v>
      </c>
      <c r="E42" s="22">
        <f>D43-C8-C13</f>
        <v>62003.39000000013</v>
      </c>
    </row>
    <row r="43" spans="2:5" ht="15" thickBot="1">
      <c r="B43" s="227" t="s">
        <v>252</v>
      </c>
      <c r="C43" s="228"/>
      <c r="D43" s="229">
        <f>SUM(D19:D42)</f>
        <v>951604.6800000002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377</v>
      </c>
      <c r="C3" s="269"/>
      <c r="D3" s="269"/>
    </row>
    <row r="4" spans="2:5" ht="15.75" thickBot="1">
      <c r="B4" s="57" t="s">
        <v>239</v>
      </c>
      <c r="C4" s="224">
        <f>'Свод 2021'!H29</f>
        <v>7134.8</v>
      </c>
      <c r="D4" s="215">
        <f>'Свод 2021'!J29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2021'!H29</f>
        <v>7134.8</v>
      </c>
      <c r="F5" s="22">
        <f>'Свод 2021'!J29</f>
        <v>20.88</v>
      </c>
    </row>
    <row r="6" spans="2:4" ht="30">
      <c r="B6" s="178" t="s">
        <v>338</v>
      </c>
      <c r="C6" s="277">
        <f>'Свод 2021'!K29</f>
        <v>705463.7200000002</v>
      </c>
      <c r="D6" s="278"/>
    </row>
    <row r="7" spans="2:4" ht="15">
      <c r="B7" s="40" t="s">
        <v>339</v>
      </c>
      <c r="C7" s="266">
        <f>'Свод 2021'!L29</f>
        <v>1702454.88</v>
      </c>
      <c r="D7" s="267"/>
    </row>
    <row r="8" spans="2:4" ht="15">
      <c r="B8" s="40" t="s">
        <v>340</v>
      </c>
      <c r="C8" s="266">
        <f>'Свод 2021'!M29</f>
        <v>1760949.78</v>
      </c>
      <c r="D8" s="267"/>
    </row>
    <row r="9" spans="2:4" ht="15">
      <c r="B9" s="40" t="s">
        <v>127</v>
      </c>
      <c r="C9" s="266">
        <f>'Свод 2021'!N29</f>
        <v>0</v>
      </c>
      <c r="D9" s="267"/>
    </row>
    <row r="10" spans="2:6" ht="28.5">
      <c r="B10" s="41" t="s">
        <v>147</v>
      </c>
      <c r="C10" s="279">
        <f>C6+C7-C8-C9</f>
        <v>646968.8200000001</v>
      </c>
      <c r="D10" s="280"/>
      <c r="E10" s="22">
        <f>'Свод 2021'!O29</f>
        <v>646968.8200000001</v>
      </c>
      <c r="F10" s="125"/>
    </row>
    <row r="11" spans="2:4" ht="30">
      <c r="B11" s="178" t="s">
        <v>323</v>
      </c>
      <c r="C11" s="266">
        <f>'Свод 2021'!Q29</f>
        <v>53705.06999999999</v>
      </c>
      <c r="D11" s="267"/>
    </row>
    <row r="12" spans="2:4" ht="15">
      <c r="B12" s="40" t="s">
        <v>342</v>
      </c>
      <c r="C12" s="266">
        <f>'Свод 2021'!R29</f>
        <v>116296.84</v>
      </c>
      <c r="D12" s="267"/>
    </row>
    <row r="13" spans="2:4" ht="15">
      <c r="B13" s="40" t="s">
        <v>343</v>
      </c>
      <c r="C13" s="266">
        <f>'Свод 2021'!S29</f>
        <v>131352.18</v>
      </c>
      <c r="D13" s="267"/>
    </row>
    <row r="14" spans="2:6" ht="28.5">
      <c r="B14" s="41" t="s">
        <v>151</v>
      </c>
      <c r="C14" s="279">
        <f>C11+C12-C13</f>
        <v>38649.72999999998</v>
      </c>
      <c r="D14" s="280"/>
      <c r="E14" s="22">
        <f>'Свод 2021'!T29</f>
        <v>38649.72999999998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2021'!W29</f>
        <v>523123.54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2021'!U29</f>
        <v>5993.23</v>
      </c>
    </row>
    <row r="22" spans="2:4" ht="15">
      <c r="B22" s="46" t="s">
        <v>134</v>
      </c>
      <c r="C22" s="47" t="s">
        <v>60</v>
      </c>
      <c r="D22" s="48">
        <f>'Свод 2021'!V29</f>
        <v>31995.25</v>
      </c>
    </row>
    <row r="23" spans="2:4" ht="30">
      <c r="B23" s="46" t="s">
        <v>161</v>
      </c>
      <c r="C23" s="94" t="s">
        <v>138</v>
      </c>
      <c r="D23" s="48">
        <f>'Свод 2021'!AA29+'Свод 2021'!Z29</f>
        <v>81336.71999999999</v>
      </c>
    </row>
    <row r="24" spans="2:4" ht="28.5" customHeight="1">
      <c r="B24" s="124" t="s">
        <v>141</v>
      </c>
      <c r="C24" s="49" t="s">
        <v>140</v>
      </c>
      <c r="D24" s="207">
        <f>'Свод 2021'!AC29</f>
        <v>16830</v>
      </c>
    </row>
    <row r="25" spans="2:4" ht="28.5" customHeight="1">
      <c r="B25" s="154" t="s">
        <v>142</v>
      </c>
      <c r="C25" s="98" t="s">
        <v>143</v>
      </c>
      <c r="D25" s="213">
        <f>'Свод 2021'!AB29</f>
        <v>3424.7</v>
      </c>
    </row>
    <row r="26" spans="2:4" ht="21.75" customHeight="1">
      <c r="B26" s="200" t="s">
        <v>153</v>
      </c>
      <c r="C26" s="47" t="s">
        <v>59</v>
      </c>
      <c r="D26" s="201">
        <f>'Свод 2021'!AD29</f>
        <v>75343.49</v>
      </c>
    </row>
    <row r="27" spans="2:4" ht="30.75" customHeight="1">
      <c r="B27" s="105" t="s">
        <v>144</v>
      </c>
      <c r="C27" s="164" t="s">
        <v>135</v>
      </c>
      <c r="D27" s="288">
        <f>'Свод 2021'!AE29</f>
        <v>277401.02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2021'!AG29</f>
        <v>123289.34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2021'!AI29</f>
        <v>267110.74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2021'!AK29</f>
        <v>126336.72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2021'!AL29</f>
        <v>101918.78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2021'!AM29</f>
        <v>125001.7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2021'!AJ29</f>
        <v>154556.69</v>
      </c>
      <c r="E42" s="22">
        <f>D43-C8-C13</f>
        <v>21359.959999999905</v>
      </c>
    </row>
    <row r="43" spans="2:5" ht="15" thickBot="1">
      <c r="B43" s="227" t="s">
        <v>252</v>
      </c>
      <c r="C43" s="228"/>
      <c r="D43" s="229">
        <f>SUM(D19:D42)</f>
        <v>1913661.92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17" right="0.18" top="0.17" bottom="0.17" header="0.19" footer="0.1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378</v>
      </c>
      <c r="C3" s="269"/>
      <c r="D3" s="269"/>
    </row>
    <row r="4" spans="2:5" ht="15.75" thickBot="1">
      <c r="B4" s="57" t="s">
        <v>240</v>
      </c>
      <c r="C4" s="224">
        <f>'Свод 2021'!H30</f>
        <v>2760.1</v>
      </c>
      <c r="D4" s="215">
        <f>'Свод 2021'!J30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2021'!H30</f>
        <v>2760.1</v>
      </c>
      <c r="F5" s="22">
        <f>'Свод 2021'!J30</f>
        <v>20.88</v>
      </c>
    </row>
    <row r="6" spans="2:4" ht="30">
      <c r="B6" s="178" t="s">
        <v>338</v>
      </c>
      <c r="C6" s="277">
        <f>'Свод 2021'!K30</f>
        <v>267348.85999999987</v>
      </c>
      <c r="D6" s="278"/>
    </row>
    <row r="7" spans="2:4" ht="15">
      <c r="B7" s="40" t="s">
        <v>339</v>
      </c>
      <c r="C7" s="266">
        <f>'Свод 2021'!L30</f>
        <v>543239.88</v>
      </c>
      <c r="D7" s="267"/>
    </row>
    <row r="8" spans="2:4" ht="15">
      <c r="B8" s="40" t="s">
        <v>340</v>
      </c>
      <c r="C8" s="266">
        <f>'Свод 2021'!M30</f>
        <v>471767.77</v>
      </c>
      <c r="D8" s="267"/>
    </row>
    <row r="9" spans="2:4" ht="15">
      <c r="B9" s="40" t="s">
        <v>127</v>
      </c>
      <c r="C9" s="266">
        <f>'Свод 2021'!N30</f>
        <v>0</v>
      </c>
      <c r="D9" s="267"/>
    </row>
    <row r="10" spans="2:6" ht="28.5">
      <c r="B10" s="41" t="s">
        <v>147</v>
      </c>
      <c r="C10" s="279">
        <f>C6+C7-C8-C9</f>
        <v>338820.96999999986</v>
      </c>
      <c r="D10" s="280"/>
      <c r="E10" s="22">
        <f>'Свод 2021'!O30</f>
        <v>338820.96999999986</v>
      </c>
      <c r="F10" s="125"/>
    </row>
    <row r="11" spans="2:4" ht="30">
      <c r="B11" s="178" t="s">
        <v>323</v>
      </c>
      <c r="C11" s="266">
        <f>'Свод 2021'!Q30</f>
        <v>2501.87</v>
      </c>
      <c r="D11" s="267"/>
    </row>
    <row r="12" spans="2:4" ht="15">
      <c r="B12" s="40" t="s">
        <v>342</v>
      </c>
      <c r="C12" s="266">
        <f>'Свод 2021'!R30</f>
        <v>222226.28999999998</v>
      </c>
      <c r="D12" s="267"/>
    </row>
    <row r="13" spans="2:4" ht="15">
      <c r="B13" s="40" t="s">
        <v>343</v>
      </c>
      <c r="C13" s="266">
        <f>'Свод 2021'!S30</f>
        <v>190734.46</v>
      </c>
      <c r="D13" s="267"/>
    </row>
    <row r="14" spans="2:6" ht="28.5">
      <c r="B14" s="41" t="s">
        <v>151</v>
      </c>
      <c r="C14" s="279">
        <f>C11+C12-C13</f>
        <v>33993.69999999998</v>
      </c>
      <c r="D14" s="280"/>
      <c r="E14" s="22">
        <f>'Свод 2021'!T30</f>
        <v>33993.69999999998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2021'!W30</f>
        <v>202370.53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2021'!U30</f>
        <v>2318.48</v>
      </c>
    </row>
    <row r="22" spans="2:4" ht="15">
      <c r="B22" s="46" t="s">
        <v>134</v>
      </c>
      <c r="C22" s="47" t="s">
        <v>60</v>
      </c>
      <c r="D22" s="48">
        <f>'Свод 2021'!V30</f>
        <v>4305.76</v>
      </c>
    </row>
    <row r="23" spans="2:4" ht="30">
      <c r="B23" s="46" t="s">
        <v>161</v>
      </c>
      <c r="C23" s="94" t="s">
        <v>138</v>
      </c>
      <c r="D23" s="48">
        <f>'Свод 2021'!AA30+'Свод 2021'!Z30</f>
        <v>31465.129999999997</v>
      </c>
    </row>
    <row r="24" spans="2:4" ht="28.5" customHeight="1">
      <c r="B24" s="124" t="s">
        <v>141</v>
      </c>
      <c r="C24" s="49" t="s">
        <v>140</v>
      </c>
      <c r="D24" s="207">
        <f>'Свод 2021'!AC30</f>
        <v>1538.28</v>
      </c>
    </row>
    <row r="25" spans="2:4" ht="28.5" customHeight="1">
      <c r="B25" s="154" t="s">
        <v>142</v>
      </c>
      <c r="C25" s="98" t="s">
        <v>143</v>
      </c>
      <c r="D25" s="207">
        <f>'Свод 2021'!AB30</f>
        <v>1324.85</v>
      </c>
    </row>
    <row r="26" spans="2:4" ht="21.75" customHeight="1">
      <c r="B26" s="200" t="s">
        <v>153</v>
      </c>
      <c r="C26" s="47" t="s">
        <v>59</v>
      </c>
      <c r="D26" s="201">
        <f>'Свод 2021'!AD30</f>
        <v>29146.66</v>
      </c>
    </row>
    <row r="27" spans="2:4" ht="30.75" customHeight="1">
      <c r="B27" s="105" t="s">
        <v>144</v>
      </c>
      <c r="C27" s="164" t="s">
        <v>135</v>
      </c>
      <c r="D27" s="288">
        <f>'Свод 2021'!AE30</f>
        <v>107312.69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2021'!AG30</f>
        <v>47694.53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2021'!AI30</f>
        <v>103006.93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2021'!AK30</f>
        <v>31465.14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2021'!AL30</f>
        <v>27821.81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2021'!AM30</f>
        <v>48356.95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2021'!AJ30</f>
        <v>53987.56</v>
      </c>
      <c r="E42" s="22">
        <f>D43-C8-C13</f>
        <v>29613.070000000036</v>
      </c>
    </row>
    <row r="43" spans="2:5" ht="15" thickBot="1">
      <c r="B43" s="227" t="s">
        <v>252</v>
      </c>
      <c r="C43" s="228"/>
      <c r="D43" s="229">
        <f>SUM(D19:D42)</f>
        <v>692115.3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2" bottom="0.32" header="0.2" footer="0.1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B1:F61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379</v>
      </c>
      <c r="C3" s="269"/>
      <c r="D3" s="269"/>
    </row>
    <row r="4" spans="2:5" ht="15.75" thickBot="1">
      <c r="B4" s="57" t="s">
        <v>241</v>
      </c>
      <c r="C4" s="224">
        <f>'Свод 2021'!H31</f>
        <v>2132.7</v>
      </c>
      <c r="D4" s="215">
        <f>'Свод 2021'!J31</f>
        <v>23.27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2021'!H31</f>
        <v>2132.7</v>
      </c>
      <c r="F5" s="22">
        <f>'Свод 2021'!J31</f>
        <v>23.27</v>
      </c>
    </row>
    <row r="6" spans="2:4" ht="30">
      <c r="B6" s="178" t="s">
        <v>338</v>
      </c>
      <c r="C6" s="277">
        <f>'Свод 2021'!K31</f>
        <v>52313.15000000002</v>
      </c>
      <c r="D6" s="278"/>
    </row>
    <row r="7" spans="2:4" ht="15">
      <c r="B7" s="40" t="s">
        <v>339</v>
      </c>
      <c r="C7" s="266">
        <f>'Свод 2021'!L31</f>
        <v>455237.52</v>
      </c>
      <c r="D7" s="267"/>
    </row>
    <row r="8" spans="2:4" ht="15">
      <c r="B8" s="40" t="s">
        <v>340</v>
      </c>
      <c r="C8" s="266">
        <f>'Свод 2021'!M31</f>
        <v>463258.25</v>
      </c>
      <c r="D8" s="267"/>
    </row>
    <row r="9" spans="2:4" ht="15">
      <c r="B9" s="40" t="s">
        <v>127</v>
      </c>
      <c r="C9" s="266">
        <f>'Свод 2021'!N31</f>
        <v>0</v>
      </c>
      <c r="D9" s="267"/>
    </row>
    <row r="10" spans="2:6" ht="28.5">
      <c r="B10" s="41" t="s">
        <v>147</v>
      </c>
      <c r="C10" s="279">
        <f>C6+C7-C8-C9</f>
        <v>44292.42000000004</v>
      </c>
      <c r="D10" s="280"/>
      <c r="E10" s="22">
        <f>'Свод 2021'!O31</f>
        <v>44292.42000000004</v>
      </c>
      <c r="F10" s="125"/>
    </row>
    <row r="11" spans="2:4" ht="30">
      <c r="B11" s="178" t="s">
        <v>323</v>
      </c>
      <c r="C11" s="266">
        <f>'Свод 2021'!Q31</f>
        <v>1970.33</v>
      </c>
      <c r="D11" s="267"/>
    </row>
    <row r="12" spans="2:4" ht="15">
      <c r="B12" s="40" t="s">
        <v>342</v>
      </c>
      <c r="C12" s="266">
        <f>'Свод 2021'!R31</f>
        <v>73057.23000000001</v>
      </c>
      <c r="D12" s="267"/>
    </row>
    <row r="13" spans="2:4" ht="15">
      <c r="B13" s="40" t="s">
        <v>343</v>
      </c>
      <c r="C13" s="266">
        <f>'Свод 2021'!S31</f>
        <v>75178.53</v>
      </c>
      <c r="D13" s="267"/>
    </row>
    <row r="14" spans="2:6" ht="28.5">
      <c r="B14" s="41" t="s">
        <v>151</v>
      </c>
      <c r="C14" s="279">
        <f>C11+C12-C13</f>
        <v>-150.9699999999866</v>
      </c>
      <c r="D14" s="280"/>
      <c r="E14" s="22">
        <f>'Свод 2021'!T31</f>
        <v>-150.9699999999866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2021'!W31</f>
        <v>156369.56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2021'!U31</f>
        <v>1791.47</v>
      </c>
    </row>
    <row r="22" spans="2:4" ht="15">
      <c r="B22" s="46" t="s">
        <v>134</v>
      </c>
      <c r="C22" s="47" t="s">
        <v>60</v>
      </c>
      <c r="D22" s="48">
        <f>'Свод 2021'!V31</f>
        <v>38516.560000000005</v>
      </c>
    </row>
    <row r="23" spans="2:4" ht="30">
      <c r="B23" s="46" t="s">
        <v>161</v>
      </c>
      <c r="C23" s="94" t="s">
        <v>138</v>
      </c>
      <c r="D23" s="48">
        <f>'Свод 2021'!AA31+'Свод 2021'!Z31</f>
        <v>24312.78</v>
      </c>
    </row>
    <row r="24" spans="2:4" ht="28.5" customHeight="1">
      <c r="B24" s="124" t="s">
        <v>141</v>
      </c>
      <c r="C24" s="49" t="s">
        <v>140</v>
      </c>
      <c r="D24" s="207">
        <f>'Свод 2021'!AC31</f>
        <v>1163.79</v>
      </c>
    </row>
    <row r="25" spans="2:4" ht="28.5" customHeight="1">
      <c r="B25" s="154" t="s">
        <v>142</v>
      </c>
      <c r="C25" s="98" t="s">
        <v>143</v>
      </c>
      <c r="D25" s="213">
        <f>'Свод 2021'!AB31</f>
        <v>1023.7</v>
      </c>
    </row>
    <row r="26" spans="2:4" ht="21.75" customHeight="1">
      <c r="B26" s="200" t="s">
        <v>153</v>
      </c>
      <c r="C26" s="47" t="s">
        <v>59</v>
      </c>
      <c r="D26" s="201">
        <f>'Свод 2021'!AD31</f>
        <v>0</v>
      </c>
    </row>
    <row r="27" spans="2:4" ht="30.75" customHeight="1">
      <c r="B27" s="105" t="s">
        <v>144</v>
      </c>
      <c r="C27" s="164" t="s">
        <v>135</v>
      </c>
      <c r="D27" s="288">
        <f>'Свод 2021'!AE31</f>
        <v>82919.38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00" t="s">
        <v>242</v>
      </c>
      <c r="C31" s="94" t="s">
        <v>243</v>
      </c>
      <c r="D31" s="207">
        <f>'Свод 2021'!X31</f>
        <v>61933.61</v>
      </c>
    </row>
    <row r="32" spans="2:4" ht="30">
      <c r="B32" s="175" t="s">
        <v>158</v>
      </c>
      <c r="C32" s="164" t="s">
        <v>166</v>
      </c>
      <c r="D32" s="176">
        <f>'Свод 2021'!AG31</f>
        <v>36853.06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2021'!AI31</f>
        <v>79592.36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2021'!AK31</f>
        <v>28919.41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2021'!AL31</f>
        <v>21753.54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2021'!AM31</f>
        <v>37364.9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2021'!AJ31</f>
        <v>26360.17</v>
      </c>
      <c r="E43" s="22">
        <f>D44-C8-C13</f>
        <v>60437.51000000004</v>
      </c>
    </row>
    <row r="44" spans="2:5" ht="15" thickBot="1">
      <c r="B44" s="227" t="s">
        <v>252</v>
      </c>
      <c r="C44" s="228"/>
      <c r="D44" s="229">
        <f>SUM(D19:D43)</f>
        <v>598874.29</v>
      </c>
      <c r="E44" s="22"/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8" t="s">
        <v>87</v>
      </c>
      <c r="C50" s="268"/>
      <c r="D50" s="268"/>
    </row>
    <row r="51" spans="2:4" ht="20.25">
      <c r="B51" s="268" t="s">
        <v>50</v>
      </c>
      <c r="C51" s="268"/>
      <c r="D51" s="268"/>
    </row>
    <row r="52" spans="2:4" ht="20.25">
      <c r="B52" s="268" t="s">
        <v>49</v>
      </c>
      <c r="C52" s="268"/>
      <c r="D52" s="268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64</v>
      </c>
      <c r="C55" s="102"/>
    </row>
    <row r="61" ht="20.25">
      <c r="B61" s="103"/>
    </row>
  </sheetData>
  <sheetProtection/>
  <mergeCells count="24">
    <mergeCell ref="B50:D50"/>
    <mergeCell ref="B51:D51"/>
    <mergeCell ref="C9:D9"/>
    <mergeCell ref="C10:D10"/>
    <mergeCell ref="C11:D11"/>
    <mergeCell ref="C12:D12"/>
    <mergeCell ref="C13:D13"/>
    <mergeCell ref="B52:D52"/>
    <mergeCell ref="C17:C18"/>
    <mergeCell ref="D17:D18"/>
    <mergeCell ref="D19:D20"/>
    <mergeCell ref="C14:D14"/>
    <mergeCell ref="B15:D15"/>
    <mergeCell ref="B16:D16"/>
    <mergeCell ref="D27:D30"/>
    <mergeCell ref="C45:D46"/>
    <mergeCell ref="B47:D47"/>
    <mergeCell ref="C8:D8"/>
    <mergeCell ref="B1:D1"/>
    <mergeCell ref="B2:D2"/>
    <mergeCell ref="B3:D3"/>
    <mergeCell ref="C5:D5"/>
    <mergeCell ref="C6:D6"/>
    <mergeCell ref="C7:D7"/>
  </mergeCells>
  <printOptions/>
  <pageMargins left="0.17" right="0.18" top="0.2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345</v>
      </c>
      <c r="C3" s="269"/>
      <c r="D3" s="269"/>
    </row>
    <row r="4" spans="2:4" ht="15.75" thickBot="1">
      <c r="B4" s="57" t="s">
        <v>211</v>
      </c>
      <c r="C4" s="224">
        <f>'Свод 2021'!H4</f>
        <v>2661.8</v>
      </c>
      <c r="D4" s="215">
        <f>'Свод 2021'!J5</f>
        <v>20.88</v>
      </c>
    </row>
    <row r="5" spans="2:4" ht="31.5" customHeight="1" thickBot="1">
      <c r="B5" s="36" t="s">
        <v>54</v>
      </c>
      <c r="C5" s="275" t="s">
        <v>150</v>
      </c>
      <c r="D5" s="276"/>
    </row>
    <row r="6" spans="2:4" ht="30">
      <c r="B6" s="178" t="s">
        <v>338</v>
      </c>
      <c r="C6" s="277">
        <f>'Свод 2021'!K5</f>
        <v>168477.99999999974</v>
      </c>
      <c r="D6" s="278"/>
    </row>
    <row r="7" spans="2:4" ht="15">
      <c r="B7" s="40" t="s">
        <v>339</v>
      </c>
      <c r="C7" s="266">
        <f>'Свод 2021'!L5</f>
        <v>762484.47</v>
      </c>
      <c r="D7" s="267"/>
    </row>
    <row r="8" spans="2:4" ht="15">
      <c r="B8" s="40" t="s">
        <v>340</v>
      </c>
      <c r="C8" s="266">
        <f>'Свод 2021'!M5</f>
        <v>778651.17</v>
      </c>
      <c r="D8" s="267"/>
    </row>
    <row r="9" spans="2:4" ht="15">
      <c r="B9" s="40" t="s">
        <v>127</v>
      </c>
      <c r="C9" s="266" t="str">
        <f>'Свод 2021'!N4</f>
        <v>-0,01</v>
      </c>
      <c r="D9" s="267"/>
    </row>
    <row r="10" spans="2:5" ht="28.5">
      <c r="B10" s="41" t="s">
        <v>147</v>
      </c>
      <c r="C10" s="279">
        <f>C6+C7-C8-C9</f>
        <v>152311.3099999997</v>
      </c>
      <c r="D10" s="280"/>
      <c r="E10" s="22">
        <f>C6+C7-C8</f>
        <v>152311.2999999997</v>
      </c>
    </row>
    <row r="11" spans="2:4" ht="30">
      <c r="B11" s="178" t="s">
        <v>323</v>
      </c>
      <c r="C11" s="266">
        <f>'Свод 2021'!Q5</f>
        <v>31217.14</v>
      </c>
      <c r="D11" s="267"/>
    </row>
    <row r="12" spans="2:4" ht="15">
      <c r="B12" s="40" t="s">
        <v>342</v>
      </c>
      <c r="C12" s="266">
        <f>'Свод 2021'!R5</f>
        <v>42421.3</v>
      </c>
      <c r="D12" s="267"/>
    </row>
    <row r="13" spans="2:4" ht="15">
      <c r="B13" s="40" t="s">
        <v>343</v>
      </c>
      <c r="C13" s="266">
        <f>'Свод 2021'!S5</f>
        <v>15748.329999999998</v>
      </c>
      <c r="D13" s="267"/>
    </row>
    <row r="14" spans="2:6" ht="28.5">
      <c r="B14" s="41" t="s">
        <v>151</v>
      </c>
      <c r="C14" s="279">
        <f>C11+C12-C13</f>
        <v>57890.11</v>
      </c>
      <c r="D14" s="280"/>
      <c r="E14" s="22">
        <f>C11+C12-C13</f>
        <v>57890.11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</f>
        <v>226382.83</v>
      </c>
    </row>
    <row r="20" spans="2:5" ht="15.75" thickBot="1">
      <c r="B20" s="158" t="s">
        <v>152</v>
      </c>
      <c r="C20" s="97" t="s">
        <v>143</v>
      </c>
      <c r="D20" s="289"/>
      <c r="E20" t="s">
        <v>167</v>
      </c>
    </row>
    <row r="21" spans="2:4" ht="30">
      <c r="B21" s="105" t="s">
        <v>160</v>
      </c>
      <c r="C21" s="106" t="s">
        <v>157</v>
      </c>
      <c r="D21" s="170">
        <f>'Свод 2021'!U5</f>
        <v>2593.58</v>
      </c>
    </row>
    <row r="22" spans="2:4" ht="15">
      <c r="B22" s="46" t="s">
        <v>134</v>
      </c>
      <c r="C22" s="47" t="s">
        <v>170</v>
      </c>
      <c r="D22" s="48">
        <f>'Свод 2021'!V5</f>
        <v>23861.57</v>
      </c>
    </row>
    <row r="23" spans="2:4" ht="30">
      <c r="B23" s="46" t="s">
        <v>161</v>
      </c>
      <c r="C23" s="94" t="s">
        <v>138</v>
      </c>
      <c r="D23" s="48">
        <f>'Свод 2021'!AA5+'Свод 2021'!Z5</f>
        <v>35198.630000000005</v>
      </c>
    </row>
    <row r="24" spans="2:4" ht="28.5" customHeight="1">
      <c r="B24" s="124" t="s">
        <v>141</v>
      </c>
      <c r="C24" s="49" t="s">
        <v>140</v>
      </c>
      <c r="D24" s="207">
        <f>'Свод 2021'!AC5</f>
        <v>1643.6799999999998</v>
      </c>
    </row>
    <row r="25" spans="2:4" ht="28.5" customHeight="1">
      <c r="B25" s="154" t="s">
        <v>142</v>
      </c>
      <c r="C25" s="98" t="s">
        <v>143</v>
      </c>
      <c r="D25" s="213">
        <f>'Свод 2021'!AB5</f>
        <v>1482.05</v>
      </c>
    </row>
    <row r="26" spans="2:4" ht="21.75" customHeight="1">
      <c r="B26" s="200" t="s">
        <v>153</v>
      </c>
      <c r="C26" s="47" t="s">
        <v>169</v>
      </c>
      <c r="D26" s="201">
        <f>'Свод 2021'!AD5</f>
        <v>48353.39</v>
      </c>
    </row>
    <row r="27" spans="2:4" ht="30.75" customHeight="1">
      <c r="B27" s="105" t="s">
        <v>144</v>
      </c>
      <c r="C27" s="164" t="s">
        <v>135</v>
      </c>
      <c r="D27" s="288">
        <f>'Свод 2021'!AE5</f>
        <v>120045.89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</f>
        <v>53353.73</v>
      </c>
    </row>
    <row r="32" spans="2:4" ht="30">
      <c r="B32" s="148" t="s">
        <v>133</v>
      </c>
      <c r="C32" s="53"/>
      <c r="D32" s="54"/>
    </row>
    <row r="33" spans="2:4" ht="59.25">
      <c r="B33" s="124" t="s">
        <v>171</v>
      </c>
      <c r="C33" s="94" t="s">
        <v>172</v>
      </c>
      <c r="D33" s="89">
        <f>'Свод 2021'!AI5</f>
        <v>115229.23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</f>
        <v>65198.64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</f>
        <v>46123.009999999995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</f>
        <v>54094.75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</f>
        <v>60393.46</v>
      </c>
      <c r="E42" s="22">
        <f>D43-C8-C13</f>
        <v>59554.9399999999</v>
      </c>
    </row>
    <row r="43" spans="2:5" ht="15" thickBot="1">
      <c r="B43" s="227" t="s">
        <v>252</v>
      </c>
      <c r="C43" s="228"/>
      <c r="D43" s="229">
        <f>SUM(D19:D42)</f>
        <v>853954.44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3:D3"/>
    <mergeCell ref="B2:D2"/>
    <mergeCell ref="B1:D1"/>
    <mergeCell ref="C5:D5"/>
    <mergeCell ref="C6:D6"/>
    <mergeCell ref="C7:D7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8:D8"/>
    <mergeCell ref="C9:D9"/>
    <mergeCell ref="C10:D10"/>
    <mergeCell ref="C11:D11"/>
    <mergeCell ref="C12:D12"/>
    <mergeCell ref="C13:D13"/>
  </mergeCells>
  <printOptions/>
  <pageMargins left="0.24" right="0.24" top="0.18" bottom="0.18" header="0.17" footer="0.1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373</v>
      </c>
      <c r="C3" s="269"/>
      <c r="D3" s="269"/>
    </row>
    <row r="4" spans="2:5" ht="15.75" thickBot="1">
      <c r="B4" s="57" t="s">
        <v>244</v>
      </c>
      <c r="C4" s="224">
        <f>'Свод 2021'!H32</f>
        <v>4394.4</v>
      </c>
      <c r="D4" s="215">
        <f>'Свод 2021'!J32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2021'!H32</f>
        <v>4394.4</v>
      </c>
      <c r="F5" s="22">
        <f>'Свод 2021'!J32</f>
        <v>20.88</v>
      </c>
    </row>
    <row r="6" spans="2:4" ht="30">
      <c r="B6" s="178" t="s">
        <v>338</v>
      </c>
      <c r="C6" s="277">
        <f>'Свод 2021'!K32</f>
        <v>181236.12000000034</v>
      </c>
      <c r="D6" s="278"/>
    </row>
    <row r="7" spans="2:4" ht="15">
      <c r="B7" s="40" t="s">
        <v>339</v>
      </c>
      <c r="C7" s="266">
        <f>'Свод 2021'!L32</f>
        <v>1040137.08</v>
      </c>
      <c r="D7" s="267"/>
    </row>
    <row r="8" spans="2:4" ht="15">
      <c r="B8" s="40" t="s">
        <v>340</v>
      </c>
      <c r="C8" s="266">
        <f>'Свод 2021'!M32</f>
        <v>1047368.79</v>
      </c>
      <c r="D8" s="267"/>
    </row>
    <row r="9" spans="2:4" ht="15">
      <c r="B9" s="40" t="s">
        <v>127</v>
      </c>
      <c r="C9" s="266">
        <f>'Свод 2021'!N32</f>
        <v>0</v>
      </c>
      <c r="D9" s="267"/>
    </row>
    <row r="10" spans="2:6" ht="28.5">
      <c r="B10" s="41" t="s">
        <v>147</v>
      </c>
      <c r="C10" s="279">
        <f>C6+C7-C8-C9</f>
        <v>174004.41000000015</v>
      </c>
      <c r="D10" s="280"/>
      <c r="E10" s="22">
        <f>'Свод 2021'!O32</f>
        <v>174004.41000000015</v>
      </c>
      <c r="F10" s="125"/>
    </row>
    <row r="11" spans="2:4" ht="30">
      <c r="B11" s="178" t="s">
        <v>323</v>
      </c>
      <c r="C11" s="266">
        <f>'Свод 2021'!Q32</f>
        <v>4460.139999999999</v>
      </c>
      <c r="D11" s="267"/>
    </row>
    <row r="12" spans="2:4" ht="15">
      <c r="B12" s="40" t="s">
        <v>342</v>
      </c>
      <c r="C12" s="266">
        <f>'Свод 2021'!R32</f>
        <v>122621.8</v>
      </c>
      <c r="D12" s="267"/>
    </row>
    <row r="13" spans="2:4" ht="15">
      <c r="B13" s="40" t="s">
        <v>343</v>
      </c>
      <c r="C13" s="266">
        <f>'Свод 2021'!S32</f>
        <v>121478.97</v>
      </c>
      <c r="D13" s="267"/>
    </row>
    <row r="14" spans="2:6" ht="28.5">
      <c r="B14" s="41" t="s">
        <v>151</v>
      </c>
      <c r="C14" s="279">
        <f>C11+C12-C13</f>
        <v>5602.970000000001</v>
      </c>
      <c r="D14" s="280"/>
      <c r="E14" s="22">
        <f>'Свод 2021'!T32</f>
        <v>5602.970000000001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2021'!W32</f>
        <v>322197.41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2021'!U32</f>
        <v>3691.3</v>
      </c>
    </row>
    <row r="22" spans="2:4" ht="15">
      <c r="B22" s="46" t="s">
        <v>134</v>
      </c>
      <c r="C22" s="47" t="s">
        <v>60</v>
      </c>
      <c r="D22" s="48">
        <f>'Свод 2021'!V32</f>
        <v>66927.59</v>
      </c>
    </row>
    <row r="23" spans="2:4" ht="30">
      <c r="B23" s="46" t="s">
        <v>161</v>
      </c>
      <c r="C23" s="94" t="s">
        <v>138</v>
      </c>
      <c r="D23" s="48">
        <f>'Свод 2021'!AA32+'Свод 2021'!Z32</f>
        <v>50096.17</v>
      </c>
    </row>
    <row r="24" spans="2:4" ht="28.5" customHeight="1">
      <c r="B24" s="124" t="s">
        <v>141</v>
      </c>
      <c r="C24" s="49" t="s">
        <v>140</v>
      </c>
      <c r="D24" s="207">
        <f>'Свод 2021'!AC32</f>
        <v>4293.18</v>
      </c>
    </row>
    <row r="25" spans="2:4" ht="28.5" customHeight="1">
      <c r="B25" s="154" t="s">
        <v>142</v>
      </c>
      <c r="C25" s="98" t="s">
        <v>143</v>
      </c>
      <c r="D25" s="213">
        <f>'Свод 2021'!AB32</f>
        <v>2109.31</v>
      </c>
    </row>
    <row r="26" spans="2:4" ht="21.75" customHeight="1">
      <c r="B26" s="200" t="s">
        <v>153</v>
      </c>
      <c r="C26" s="47" t="s">
        <v>59</v>
      </c>
      <c r="D26" s="201">
        <f>'Свод 2021'!AD32</f>
        <v>46404.86</v>
      </c>
    </row>
    <row r="27" spans="2:4" ht="30.75" customHeight="1">
      <c r="B27" s="105" t="s">
        <v>144</v>
      </c>
      <c r="C27" s="164" t="s">
        <v>135</v>
      </c>
      <c r="D27" s="288">
        <f>'Свод 2021'!AE32</f>
        <v>170854.27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2021'!AG32</f>
        <v>75935.23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2021'!AI32</f>
        <v>164359.01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2021'!AK32</f>
        <v>65096.16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2021'!AL32</f>
        <v>54295.55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2021'!AM32</f>
        <v>76989.89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2021'!AJ32</f>
        <v>85954.46</v>
      </c>
      <c r="E42" s="22">
        <f>D43-C8-C13</f>
        <v>20356.62999999986</v>
      </c>
    </row>
    <row r="43" spans="2:5" ht="15.75" thickBot="1">
      <c r="B43" s="227" t="s">
        <v>252</v>
      </c>
      <c r="C43" s="225"/>
      <c r="D43" s="226">
        <f>SUM(D19:D42)</f>
        <v>1189204.39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19:D20"/>
    <mergeCell ref="D27:D30"/>
    <mergeCell ref="C44:D45"/>
    <mergeCell ref="B46:D46"/>
    <mergeCell ref="B49:D49"/>
    <mergeCell ref="C14:D14"/>
    <mergeCell ref="B15:D15"/>
    <mergeCell ref="B16:D16"/>
    <mergeCell ref="C17:C18"/>
    <mergeCell ref="D17:D18"/>
    <mergeCell ref="B50:D5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17" bottom="0.19" header="0.2" footer="0.17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5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378</v>
      </c>
      <c r="C3" s="269"/>
      <c r="D3" s="269"/>
    </row>
    <row r="4" spans="2:5" ht="15.75" thickBot="1">
      <c r="B4" s="57" t="s">
        <v>245</v>
      </c>
      <c r="C4" s="224">
        <f>'Свод 2021'!H33</f>
        <v>2713.5</v>
      </c>
      <c r="D4" s="215">
        <f>'Свод 2021'!J33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2021'!H33</f>
        <v>2713.5</v>
      </c>
      <c r="F5" s="22">
        <f>'Свод 2021'!J33</f>
        <v>20.88</v>
      </c>
    </row>
    <row r="6" spans="2:4" ht="30">
      <c r="B6" s="178" t="s">
        <v>338</v>
      </c>
      <c r="C6" s="277">
        <f>'Свод 2021'!K33</f>
        <v>66632.37999999989</v>
      </c>
      <c r="D6" s="278"/>
    </row>
    <row r="7" spans="2:4" ht="15">
      <c r="B7" s="40" t="s">
        <v>339</v>
      </c>
      <c r="C7" s="266">
        <f>'Свод 2021'!L33</f>
        <v>653460.24</v>
      </c>
      <c r="D7" s="267"/>
    </row>
    <row r="8" spans="2:4" ht="15">
      <c r="B8" s="40" t="s">
        <v>340</v>
      </c>
      <c r="C8" s="266">
        <f>'Свод 2021'!M33</f>
        <v>618556.69</v>
      </c>
      <c r="D8" s="267"/>
    </row>
    <row r="9" spans="2:4" ht="15">
      <c r="B9" s="40" t="s">
        <v>127</v>
      </c>
      <c r="C9" s="266">
        <f>'Свод 2021'!N33</f>
        <v>0</v>
      </c>
      <c r="D9" s="267"/>
    </row>
    <row r="10" spans="2:6" ht="28.5">
      <c r="B10" s="41" t="s">
        <v>147</v>
      </c>
      <c r="C10" s="279">
        <f>C6+C7-C8-C9</f>
        <v>101535.92999999993</v>
      </c>
      <c r="D10" s="280"/>
      <c r="E10" s="22">
        <f>'Свод 2021'!O33</f>
        <v>101535.92999999993</v>
      </c>
      <c r="F10" s="125"/>
    </row>
    <row r="11" spans="2:4" ht="30">
      <c r="B11" s="178" t="s">
        <v>323</v>
      </c>
      <c r="C11" s="266">
        <f>'Свод 2021'!Q33</f>
        <v>22294.59</v>
      </c>
      <c r="D11" s="267"/>
    </row>
    <row r="12" spans="2:4" ht="15">
      <c r="B12" s="40" t="s">
        <v>342</v>
      </c>
      <c r="C12" s="266">
        <f>'Свод 2021'!R33</f>
        <v>55263.27</v>
      </c>
      <c r="D12" s="267"/>
    </row>
    <row r="13" spans="2:4" ht="15">
      <c r="B13" s="40" t="s">
        <v>343</v>
      </c>
      <c r="C13" s="266">
        <f>'Свод 2021'!S33</f>
        <v>58672.14</v>
      </c>
      <c r="D13" s="267"/>
    </row>
    <row r="14" spans="2:6" ht="28.5">
      <c r="B14" s="41" t="s">
        <v>151</v>
      </c>
      <c r="C14" s="279">
        <f>C11+C12-C13</f>
        <v>18885.72</v>
      </c>
      <c r="D14" s="280"/>
      <c r="E14" s="22">
        <f>'Свод 2021'!T33</f>
        <v>18885.72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2021'!W33</f>
        <v>198953.82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2021'!U33</f>
        <v>2279.34</v>
      </c>
    </row>
    <row r="22" spans="2:4" ht="15">
      <c r="B22" s="46" t="s">
        <v>134</v>
      </c>
      <c r="C22" s="47" t="s">
        <v>60</v>
      </c>
      <c r="D22" s="48">
        <f>'Свод 2021'!V33</f>
        <v>52033.53</v>
      </c>
    </row>
    <row r="23" spans="2:4" ht="30">
      <c r="B23" s="46" t="s">
        <v>161</v>
      </c>
      <c r="C23" s="94" t="s">
        <v>138</v>
      </c>
      <c r="D23" s="48">
        <f>'Свод 2021'!AA33+'Свод 2021'!Z33</f>
        <v>30933.899999999998</v>
      </c>
    </row>
    <row r="24" spans="2:4" ht="28.5" customHeight="1">
      <c r="B24" s="124" t="s">
        <v>141</v>
      </c>
      <c r="C24" s="49" t="s">
        <v>140</v>
      </c>
      <c r="D24" s="207">
        <f>'Свод 2021'!AC33</f>
        <v>2526.82</v>
      </c>
    </row>
    <row r="25" spans="2:4" ht="28.5" customHeight="1">
      <c r="B25" s="154" t="s">
        <v>142</v>
      </c>
      <c r="C25" s="98" t="s">
        <v>143</v>
      </c>
      <c r="D25" s="213">
        <f>'Свод 2021'!AB33</f>
        <v>1302.48</v>
      </c>
    </row>
    <row r="26" spans="2:4" ht="21.75" customHeight="1">
      <c r="B26" s="200" t="s">
        <v>153</v>
      </c>
      <c r="C26" s="47" t="s">
        <v>59</v>
      </c>
      <c r="D26" s="201">
        <f>'Свод 2021'!AD33</f>
        <v>28654.56</v>
      </c>
    </row>
    <row r="27" spans="2:4" ht="30.75" customHeight="1">
      <c r="B27" s="105" t="s">
        <v>144</v>
      </c>
      <c r="C27" s="164" t="s">
        <v>135</v>
      </c>
      <c r="D27" s="288">
        <f>'Свод 2021'!AE33</f>
        <v>105500.88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2021'!AG33</f>
        <v>46889.28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2021'!AI33</f>
        <v>101627.82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2021'!AK33</f>
        <v>30933.9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2021'!AL33</f>
        <v>27352.08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2021'!AM33</f>
        <v>47540.52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2021'!AJ33</f>
        <v>53076.06</v>
      </c>
      <c r="E42" s="22">
        <f>D43-C8-C13</f>
        <v>52376.16000000005</v>
      </c>
    </row>
    <row r="43" spans="2:5" ht="15" thickBot="1">
      <c r="B43" s="227" t="s">
        <v>252</v>
      </c>
      <c r="C43" s="228"/>
      <c r="D43" s="229">
        <f>SUM(D19:D42)</f>
        <v>729604.99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17" right="0.18" top="0.22" bottom="0.32" header="0.17" footer="0.19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1:G62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380</v>
      </c>
      <c r="C3" s="269"/>
      <c r="D3" s="269"/>
    </row>
    <row r="4" spans="2:5" ht="15.75" thickBot="1">
      <c r="B4" s="57" t="s">
        <v>246</v>
      </c>
      <c r="C4" s="224">
        <f>'Свод 2021'!H34</f>
        <v>2326.2</v>
      </c>
      <c r="D4" s="215" t="str">
        <f>'Свод 2021'!J34</f>
        <v>35,76/23,27</v>
      </c>
      <c r="E4" s="22"/>
    </row>
    <row r="5" spans="2:7" ht="31.5" customHeight="1" thickBot="1">
      <c r="B5" s="36" t="s">
        <v>54</v>
      </c>
      <c r="C5" s="275" t="s">
        <v>150</v>
      </c>
      <c r="D5" s="276"/>
      <c r="E5" s="22">
        <f>'Свод 2021'!H34</f>
        <v>2326.2</v>
      </c>
      <c r="F5" s="22" t="str">
        <f>'Свод 2021'!J34</f>
        <v>35,76/23,27</v>
      </c>
      <c r="G5">
        <v>37.36</v>
      </c>
    </row>
    <row r="6" spans="2:4" ht="30">
      <c r="B6" s="178" t="s">
        <v>338</v>
      </c>
      <c r="C6" s="277">
        <f>'Свод 2021'!K34</f>
        <v>280788.23</v>
      </c>
      <c r="D6" s="278"/>
    </row>
    <row r="7" spans="2:4" ht="15">
      <c r="B7" s="40" t="s">
        <v>339</v>
      </c>
      <c r="C7" s="266">
        <f>'Свод 2021'!L34</f>
        <v>836958.16</v>
      </c>
      <c r="D7" s="267"/>
    </row>
    <row r="8" spans="2:4" ht="15">
      <c r="B8" s="40" t="s">
        <v>340</v>
      </c>
      <c r="C8" s="266">
        <f>'Свод 2021'!M34</f>
        <v>942773.62</v>
      </c>
      <c r="D8" s="267"/>
    </row>
    <row r="9" spans="2:4" ht="15">
      <c r="B9" s="40" t="s">
        <v>127</v>
      </c>
      <c r="C9" s="266">
        <f>'Свод 2021'!N34</f>
        <v>0</v>
      </c>
      <c r="D9" s="267"/>
    </row>
    <row r="10" spans="2:6" ht="28.5">
      <c r="B10" s="41" t="s">
        <v>147</v>
      </c>
      <c r="C10" s="279">
        <f>C6+C7-C8-C9</f>
        <v>174972.77000000014</v>
      </c>
      <c r="D10" s="280"/>
      <c r="E10" s="22">
        <f>'Свод 2021'!O34</f>
        <v>174972.77000000014</v>
      </c>
      <c r="F10" s="125"/>
    </row>
    <row r="11" spans="2:4" ht="30">
      <c r="B11" s="178" t="s">
        <v>323</v>
      </c>
      <c r="C11" s="266">
        <f>'Свод 2021'!Q34</f>
        <v>21075.039999999997</v>
      </c>
      <c r="D11" s="267"/>
    </row>
    <row r="12" spans="2:4" ht="15">
      <c r="B12" s="40" t="s">
        <v>342</v>
      </c>
      <c r="C12" s="266">
        <f>'Свод 2021'!R34</f>
        <v>110001.45000000001</v>
      </c>
      <c r="D12" s="267"/>
    </row>
    <row r="13" spans="2:4" ht="15">
      <c r="B13" s="40" t="s">
        <v>343</v>
      </c>
      <c r="C13" s="266">
        <f>'Свод 2021'!S34</f>
        <v>93986.2</v>
      </c>
      <c r="D13" s="267"/>
    </row>
    <row r="14" spans="2:6" ht="28.5">
      <c r="B14" s="41" t="s">
        <v>151</v>
      </c>
      <c r="C14" s="279">
        <f>C11+C12-C13</f>
        <v>37090.29000000002</v>
      </c>
      <c r="D14" s="280"/>
      <c r="E14" s="22">
        <f>'Свод 2021'!T34</f>
        <v>37090.29000000002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2021'!W34</f>
        <v>170556.98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2021'!U34</f>
        <v>1954.01</v>
      </c>
    </row>
    <row r="22" spans="2:4" ht="15">
      <c r="B22" s="46" t="s">
        <v>134</v>
      </c>
      <c r="C22" s="47" t="s">
        <v>60</v>
      </c>
      <c r="D22" s="48">
        <f>'Свод 2021'!V34</f>
        <v>10780.66</v>
      </c>
    </row>
    <row r="23" spans="2:4" ht="30">
      <c r="B23" s="46" t="s">
        <v>161</v>
      </c>
      <c r="C23" s="94" t="s">
        <v>138</v>
      </c>
      <c r="D23" s="48">
        <f>'Свод 2021'!AA34+'Свод 2021'!Z34</f>
        <v>26518.68</v>
      </c>
    </row>
    <row r="24" spans="2:4" ht="28.5" customHeight="1">
      <c r="B24" s="124" t="s">
        <v>141</v>
      </c>
      <c r="C24" s="49" t="s">
        <v>140</v>
      </c>
      <c r="D24" s="207">
        <f>'Свод 2021'!AC34</f>
        <v>1615.65</v>
      </c>
    </row>
    <row r="25" spans="2:4" ht="28.5" customHeight="1">
      <c r="B25" s="154" t="s">
        <v>142</v>
      </c>
      <c r="C25" s="98" t="s">
        <v>143</v>
      </c>
      <c r="D25" s="213">
        <f>'Свод 2021'!AB34</f>
        <v>1116.58</v>
      </c>
    </row>
    <row r="26" spans="2:4" ht="21.75" customHeight="1">
      <c r="B26" s="200" t="s">
        <v>153</v>
      </c>
      <c r="C26" s="47" t="s">
        <v>59</v>
      </c>
      <c r="D26" s="201">
        <f>'Свод 2021'!AD34</f>
        <v>28934.24</v>
      </c>
    </row>
    <row r="27" spans="2:4" ht="30.75" customHeight="1">
      <c r="B27" s="105" t="s">
        <v>144</v>
      </c>
      <c r="C27" s="164" t="s">
        <v>135</v>
      </c>
      <c r="D27" s="288">
        <f>'Свод 2021'!AE34</f>
        <v>90442.66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22" t="s">
        <v>191</v>
      </c>
      <c r="C31" s="94" t="s">
        <v>166</v>
      </c>
      <c r="D31" s="207">
        <f>'Свод 2021'!Y34</f>
        <v>275837.96</v>
      </c>
    </row>
    <row r="32" spans="2:4" ht="15">
      <c r="B32" s="220" t="s">
        <v>242</v>
      </c>
      <c r="C32" s="164" t="s">
        <v>61</v>
      </c>
      <c r="D32" s="221">
        <f>'Свод 2021'!X34</f>
        <v>67552.85</v>
      </c>
    </row>
    <row r="33" spans="2:4" ht="30">
      <c r="B33" s="175" t="s">
        <v>158</v>
      </c>
      <c r="C33" s="164" t="s">
        <v>166</v>
      </c>
      <c r="D33" s="176">
        <f>'Свод 2021'!AG34</f>
        <v>40196.74</v>
      </c>
    </row>
    <row r="34" spans="2:4" ht="30">
      <c r="B34" s="148" t="s">
        <v>133</v>
      </c>
      <c r="C34" s="53"/>
      <c r="D34" s="54"/>
    </row>
    <row r="35" spans="2:4" ht="59.25">
      <c r="B35" s="124" t="s">
        <v>182</v>
      </c>
      <c r="C35" s="94" t="s">
        <v>181</v>
      </c>
      <c r="D35" s="89">
        <f>'Свод 2021'!AI34</f>
        <v>108913.78</v>
      </c>
    </row>
    <row r="36" spans="2:4" ht="60.75" thickBot="1">
      <c r="B36" s="148" t="s">
        <v>162</v>
      </c>
      <c r="C36" s="151"/>
      <c r="D36" s="89"/>
    </row>
    <row r="37" spans="2:4" ht="15">
      <c r="B37" s="155" t="s">
        <v>129</v>
      </c>
      <c r="C37" s="156"/>
      <c r="D37" s="157"/>
    </row>
    <row r="38" spans="2:4" ht="120.75" thickBot="1">
      <c r="B38" s="158" t="s">
        <v>154</v>
      </c>
      <c r="C38" s="159" t="s">
        <v>139</v>
      </c>
      <c r="D38" s="160">
        <f>'Свод 2021'!AK34</f>
        <v>69966.78</v>
      </c>
    </row>
    <row r="39" spans="2:4" ht="15">
      <c r="B39" s="155" t="s">
        <v>130</v>
      </c>
      <c r="C39" s="161"/>
      <c r="D39" s="162"/>
    </row>
    <row r="40" spans="2:4" ht="45.75" thickBot="1">
      <c r="B40" s="158" t="s">
        <v>155</v>
      </c>
      <c r="C40" s="159" t="s">
        <v>139</v>
      </c>
      <c r="D40" s="163">
        <f>'Свод 2021'!AL34</f>
        <v>38727.240000000005</v>
      </c>
    </row>
    <row r="41" spans="2:4" ht="15">
      <c r="B41" s="155" t="s">
        <v>131</v>
      </c>
      <c r="C41" s="165"/>
      <c r="D41" s="166"/>
    </row>
    <row r="42" spans="2:4" ht="44.25" customHeight="1" thickBot="1">
      <c r="B42" s="158" t="s">
        <v>148</v>
      </c>
      <c r="C42" s="159" t="s">
        <v>139</v>
      </c>
      <c r="D42" s="163">
        <f>'Свод 2021'!AM34</f>
        <v>50755.02</v>
      </c>
    </row>
    <row r="43" spans="2:4" ht="19.5" customHeight="1">
      <c r="B43" s="167" t="s">
        <v>149</v>
      </c>
      <c r="C43" s="150"/>
      <c r="D43" s="168"/>
    </row>
    <row r="44" spans="2:5" ht="120.75" thickBot="1">
      <c r="B44" s="158" t="s">
        <v>163</v>
      </c>
      <c r="C44" s="159" t="s">
        <v>139</v>
      </c>
      <c r="D44" s="104">
        <f>'Свод 2021'!AJ34</f>
        <v>55500.47</v>
      </c>
      <c r="E44" s="22">
        <f>D45-C8-C13</f>
        <v>2610.4799999999377</v>
      </c>
    </row>
    <row r="45" spans="2:5" ht="15" thickBot="1">
      <c r="B45" s="227" t="s">
        <v>252</v>
      </c>
      <c r="C45" s="228"/>
      <c r="D45" s="229">
        <f>SUM(D19:D44)</f>
        <v>1039370.2999999999</v>
      </c>
      <c r="E45" s="22"/>
    </row>
    <row r="46" spans="2:4" ht="15" customHeight="1">
      <c r="B46" s="169" t="s">
        <v>145</v>
      </c>
      <c r="C46" s="284" t="s">
        <v>146</v>
      </c>
      <c r="D46" s="285"/>
    </row>
    <row r="47" spans="2:4" ht="52.5" customHeight="1" thickBot="1">
      <c r="B47" s="153" t="s">
        <v>159</v>
      </c>
      <c r="C47" s="286"/>
      <c r="D47" s="287"/>
    </row>
    <row r="48" spans="2:4" ht="14.25">
      <c r="B48" s="274" t="s">
        <v>226</v>
      </c>
      <c r="C48" s="274"/>
      <c r="D48" s="274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68" t="s">
        <v>87</v>
      </c>
      <c r="C51" s="268"/>
      <c r="D51" s="268"/>
    </row>
    <row r="52" spans="2:4" ht="20.25">
      <c r="B52" s="268" t="s">
        <v>50</v>
      </c>
      <c r="C52" s="268"/>
      <c r="D52" s="268"/>
    </row>
    <row r="53" spans="2:4" ht="20.25">
      <c r="B53" s="268" t="s">
        <v>49</v>
      </c>
      <c r="C53" s="268"/>
      <c r="D53" s="268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64</v>
      </c>
      <c r="C56" s="102"/>
    </row>
    <row r="62" ht="20.25">
      <c r="B62" s="103"/>
    </row>
  </sheetData>
  <sheetProtection/>
  <mergeCells count="24">
    <mergeCell ref="C14:D14"/>
    <mergeCell ref="B15:D15"/>
    <mergeCell ref="B53:D53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6:D47"/>
    <mergeCell ref="B48:D48"/>
    <mergeCell ref="B51:D51"/>
    <mergeCell ref="B52:D52"/>
    <mergeCell ref="B3:D3"/>
    <mergeCell ref="C5:D5"/>
    <mergeCell ref="C6:D6"/>
    <mergeCell ref="C7:D7"/>
  </mergeCells>
  <printOptions/>
  <pageMargins left="0.24" right="0.24" top="0.17" bottom="0.3" header="0.17" footer="0.17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8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330</v>
      </c>
      <c r="C3" s="269"/>
      <c r="D3" s="269"/>
    </row>
    <row r="4" spans="2:5" ht="15.75" thickBot="1">
      <c r="B4" s="57" t="s">
        <v>247</v>
      </c>
      <c r="C4" s="224">
        <f>'Свод 2021'!H35</f>
        <v>5414.4</v>
      </c>
      <c r="D4" s="214">
        <f>'Свод 2021'!J35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2021'!H35</f>
        <v>5414.4</v>
      </c>
      <c r="F5" s="22">
        <f>'Свод 2021'!J35</f>
        <v>20.88</v>
      </c>
    </row>
    <row r="6" spans="2:4" ht="30">
      <c r="B6" s="178" t="s">
        <v>311</v>
      </c>
      <c r="C6" s="277">
        <f>'Свод 2021'!K35</f>
        <v>330015.0499999998</v>
      </c>
      <c r="D6" s="278"/>
    </row>
    <row r="7" spans="2:4" ht="15">
      <c r="B7" s="40" t="s">
        <v>312</v>
      </c>
      <c r="C7" s="266">
        <f>'Свод 2021'!L35</f>
        <v>1342225.44</v>
      </c>
      <c r="D7" s="267"/>
    </row>
    <row r="8" spans="2:4" ht="15">
      <c r="B8" s="40" t="s">
        <v>313</v>
      </c>
      <c r="C8" s="266">
        <f>'Свод 2021'!M35</f>
        <v>1311900.88</v>
      </c>
      <c r="D8" s="267"/>
    </row>
    <row r="9" spans="2:4" ht="15">
      <c r="B9" s="40" t="s">
        <v>127</v>
      </c>
      <c r="C9" s="266">
        <f>'Свод 2021'!N35</f>
        <v>0</v>
      </c>
      <c r="D9" s="267"/>
    </row>
    <row r="10" spans="2:6" ht="28.5">
      <c r="B10" s="41" t="s">
        <v>147</v>
      </c>
      <c r="C10" s="279">
        <f>C6+C7-C8-C9</f>
        <v>360339.60999999987</v>
      </c>
      <c r="D10" s="280"/>
      <c r="E10" s="22">
        <f>'Свод 2021'!O35</f>
        <v>360339.60999999987</v>
      </c>
      <c r="F10" s="125"/>
    </row>
    <row r="11" spans="2:4" ht="30">
      <c r="B11" s="178" t="s">
        <v>323</v>
      </c>
      <c r="C11" s="266">
        <f>'Свод 2021'!Q35</f>
        <v>579.1999999999998</v>
      </c>
      <c r="D11" s="267"/>
    </row>
    <row r="12" spans="2:4" ht="15">
      <c r="B12" s="40" t="s">
        <v>314</v>
      </c>
      <c r="C12" s="266">
        <f>'Свод 2021'!R35</f>
        <v>23938.79</v>
      </c>
      <c r="D12" s="267"/>
    </row>
    <row r="13" spans="2:4" ht="15">
      <c r="B13" s="40" t="s">
        <v>315</v>
      </c>
      <c r="C13" s="266">
        <f>'Свод 2021'!S35</f>
        <v>22509.28</v>
      </c>
      <c r="D13" s="267"/>
    </row>
    <row r="14" spans="2:6" ht="28.5">
      <c r="B14" s="41" t="s">
        <v>151</v>
      </c>
      <c r="C14" s="279">
        <f>C11+C12-C13</f>
        <v>2008.7100000000028</v>
      </c>
      <c r="D14" s="280"/>
      <c r="E14" s="22">
        <f>'Свод 2021'!T35</f>
        <v>2008.7100000000028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316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2021'!W35</f>
        <v>396983.81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2021'!U35</f>
        <v>4548.1</v>
      </c>
    </row>
    <row r="22" spans="2:4" ht="15">
      <c r="B22" s="46" t="s">
        <v>134</v>
      </c>
      <c r="C22" s="47" t="s">
        <v>60</v>
      </c>
      <c r="D22" s="48">
        <f>'Свод 2021'!V35</f>
        <v>8446.46</v>
      </c>
    </row>
    <row r="23" spans="2:4" ht="30">
      <c r="B23" s="46" t="s">
        <v>161</v>
      </c>
      <c r="C23" s="94" t="s">
        <v>138</v>
      </c>
      <c r="D23" s="48">
        <f>'Свод 2021'!AA35+'Свод 2021'!Z35</f>
        <v>61724.170000000006</v>
      </c>
    </row>
    <row r="24" spans="2:4" ht="28.5" customHeight="1">
      <c r="B24" s="124" t="s">
        <v>141</v>
      </c>
      <c r="C24" s="49" t="s">
        <v>140</v>
      </c>
      <c r="D24" s="207">
        <f>'Свод 2021'!AC35</f>
        <v>5572.58</v>
      </c>
    </row>
    <row r="25" spans="2:4" ht="28.5" customHeight="1">
      <c r="B25" s="154" t="s">
        <v>142</v>
      </c>
      <c r="C25" s="98" t="s">
        <v>143</v>
      </c>
      <c r="D25" s="213">
        <f>'Свод 2021'!AB35</f>
        <v>2598.91</v>
      </c>
    </row>
    <row r="26" spans="2:4" ht="21.75" customHeight="1">
      <c r="B26" s="200" t="s">
        <v>153</v>
      </c>
      <c r="C26" s="47" t="s">
        <v>59</v>
      </c>
      <c r="D26" s="201">
        <f>'Свод 2021'!AD35</f>
        <v>57176.06</v>
      </c>
    </row>
    <row r="27" spans="2:4" ht="30.75" customHeight="1">
      <c r="B27" s="105" t="s">
        <v>144</v>
      </c>
      <c r="C27" s="164" t="s">
        <v>135</v>
      </c>
      <c r="D27" s="288">
        <f>'Свод 2021'!AE35</f>
        <v>210511.87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2021'!AG35</f>
        <v>93560.83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2021'!AI35</f>
        <v>202065.41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2021'!AK35</f>
        <v>61724.16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208">
        <f>'Свод 2021'!AL35</f>
        <v>54577.15</v>
      </c>
    </row>
    <row r="39" spans="2:4" ht="15">
      <c r="B39" s="155" t="s">
        <v>131</v>
      </c>
      <c r="C39" s="165"/>
      <c r="D39" s="166"/>
    </row>
    <row r="40" spans="2:4" ht="55.5" customHeight="1" thickBot="1">
      <c r="B40" s="158" t="s">
        <v>148</v>
      </c>
      <c r="C40" s="159" t="s">
        <v>139</v>
      </c>
      <c r="D40" s="223">
        <f>'Свод 2021'!AM35</f>
        <v>94860.29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2021'!AJ35</f>
        <v>105905.66</v>
      </c>
      <c r="E42" s="22">
        <f>D43-C8-C13</f>
        <v>25845.299999999843</v>
      </c>
    </row>
    <row r="43" spans="2:5" ht="15" thickBot="1">
      <c r="B43" s="227" t="s">
        <v>252</v>
      </c>
      <c r="C43" s="228"/>
      <c r="D43" s="229">
        <f>SUM(D19:D42)</f>
        <v>1360255.4599999997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19" right="0.18" top="0.24" bottom="0.17" header="0.17" footer="0.17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378</v>
      </c>
      <c r="C3" s="269"/>
      <c r="D3" s="269"/>
    </row>
    <row r="4" spans="2:5" ht="15.75" thickBot="1">
      <c r="B4" s="57" t="s">
        <v>248</v>
      </c>
      <c r="C4" s="224">
        <f>'Свод 2021'!H36</f>
        <v>4099.5</v>
      </c>
      <c r="D4" s="215">
        <f>'Свод 2021'!J36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2021'!H36</f>
        <v>4099.5</v>
      </c>
      <c r="F5" s="22">
        <f>'Свод 2021'!J36</f>
        <v>20.88</v>
      </c>
    </row>
    <row r="6" spans="2:4" ht="30">
      <c r="B6" s="178" t="s">
        <v>338</v>
      </c>
      <c r="C6" s="277">
        <f>'Свод 2021'!K36</f>
        <v>215344.2599999999</v>
      </c>
      <c r="D6" s="278"/>
    </row>
    <row r="7" spans="2:4" ht="15">
      <c r="B7" s="40" t="s">
        <v>339</v>
      </c>
      <c r="C7" s="266">
        <f>'Свод 2021'!L36</f>
        <v>972442.35</v>
      </c>
      <c r="D7" s="267"/>
    </row>
    <row r="8" spans="2:4" ht="15">
      <c r="B8" s="40" t="s">
        <v>340</v>
      </c>
      <c r="C8" s="266">
        <f>'Свод 2021'!M36</f>
        <v>1000133.6</v>
      </c>
      <c r="D8" s="267"/>
    </row>
    <row r="9" spans="2:4" ht="15">
      <c r="B9" s="40" t="s">
        <v>127</v>
      </c>
      <c r="C9" s="266">
        <f>'Свод 2021'!N36</f>
        <v>0</v>
      </c>
      <c r="D9" s="267"/>
    </row>
    <row r="10" spans="2:6" ht="28.5">
      <c r="B10" s="41" t="s">
        <v>147</v>
      </c>
      <c r="C10" s="279">
        <f>C6+C7-C8-C9</f>
        <v>187653.0099999999</v>
      </c>
      <c r="D10" s="280"/>
      <c r="E10" s="22">
        <f>'Свод 2021'!O36</f>
        <v>187653.0099999999</v>
      </c>
      <c r="F10" s="125"/>
    </row>
    <row r="11" spans="2:4" ht="30">
      <c r="B11" s="178" t="s">
        <v>323</v>
      </c>
      <c r="C11" s="266">
        <f>'Свод 2021'!Q36</f>
        <v>-6840.030000000001</v>
      </c>
      <c r="D11" s="267"/>
    </row>
    <row r="12" spans="2:4" ht="15">
      <c r="B12" s="40" t="s">
        <v>342</v>
      </c>
      <c r="C12" s="266">
        <f>'Свод 2021'!R36</f>
        <v>64972.5</v>
      </c>
      <c r="D12" s="267"/>
    </row>
    <row r="13" spans="2:4" ht="15">
      <c r="B13" s="40" t="s">
        <v>366</v>
      </c>
      <c r="C13" s="266">
        <f>'Свод 2021'!S36</f>
        <v>49651.25</v>
      </c>
      <c r="D13" s="267"/>
    </row>
    <row r="14" spans="2:6" ht="28.5">
      <c r="B14" s="41" t="s">
        <v>151</v>
      </c>
      <c r="C14" s="279">
        <f>C11+C12-C13</f>
        <v>8481.220000000001</v>
      </c>
      <c r="D14" s="280"/>
      <c r="E14" s="22">
        <f>'Свод 2021'!T36</f>
        <v>8481.220000000001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2021'!W36</f>
        <v>300575.34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2021'!U36</f>
        <v>3443.58</v>
      </c>
    </row>
    <row r="22" spans="2:4" ht="15">
      <c r="B22" s="46" t="s">
        <v>134</v>
      </c>
      <c r="C22" s="47" t="s">
        <v>60</v>
      </c>
      <c r="D22" s="48">
        <f>'Свод 2021'!V36</f>
        <v>19498.170000000002</v>
      </c>
    </row>
    <row r="23" spans="2:4" ht="30">
      <c r="B23" s="46" t="s">
        <v>161</v>
      </c>
      <c r="C23" s="94" t="s">
        <v>138</v>
      </c>
      <c r="D23" s="48">
        <f>'Свод 2021'!AA36+'Свод 2021'!Z36</f>
        <v>46734.3</v>
      </c>
    </row>
    <row r="24" spans="2:4" ht="28.5" customHeight="1">
      <c r="B24" s="124" t="s">
        <v>141</v>
      </c>
      <c r="C24" s="49" t="s">
        <v>140</v>
      </c>
      <c r="D24" s="207">
        <f>'Свод 2021'!AC36</f>
        <v>2523.04</v>
      </c>
    </row>
    <row r="25" spans="2:4" ht="28.5" customHeight="1">
      <c r="B25" s="154" t="s">
        <v>142</v>
      </c>
      <c r="C25" s="98" t="s">
        <v>143</v>
      </c>
      <c r="D25" s="213">
        <f>'Свод 2021'!AB36</f>
        <v>1967.76</v>
      </c>
    </row>
    <row r="26" spans="2:4" ht="21.75" customHeight="1">
      <c r="B26" s="200" t="s">
        <v>153</v>
      </c>
      <c r="C26" s="47" t="s">
        <v>59</v>
      </c>
      <c r="D26" s="201">
        <f>'Свод 2021'!AD36</f>
        <v>43290.72</v>
      </c>
    </row>
    <row r="27" spans="2:4" ht="30.75" customHeight="1">
      <c r="B27" s="105" t="s">
        <v>144</v>
      </c>
      <c r="C27" s="164" t="s">
        <v>135</v>
      </c>
      <c r="D27" s="288">
        <f>'Свод 2021'!AE36</f>
        <v>159388.56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2021'!AG36</f>
        <v>70839.36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2021'!AI36</f>
        <v>229697.34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2021'!AK36</f>
        <v>46734.3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2021'!AL36</f>
        <v>41322.96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2021'!AM36</f>
        <v>71823.24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2021'!AJ36</f>
        <v>80186.22</v>
      </c>
      <c r="E42" s="22">
        <f>D43-C8-C13</f>
        <v>68240.03999999992</v>
      </c>
    </row>
    <row r="43" spans="2:5" ht="15" thickBot="1">
      <c r="B43" s="227" t="s">
        <v>252</v>
      </c>
      <c r="C43" s="228"/>
      <c r="D43" s="229">
        <f>SUM(D19:D42)</f>
        <v>1118024.89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331</v>
      </c>
      <c r="C3" s="269"/>
      <c r="D3" s="269"/>
    </row>
    <row r="4" spans="2:5" ht="15.75" thickBot="1">
      <c r="B4" s="57" t="s">
        <v>249</v>
      </c>
      <c r="C4" s="224">
        <f>'Свод 2021'!H37</f>
        <v>3116.6</v>
      </c>
      <c r="D4" s="214">
        <f>'Свод 2021'!J37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2021'!H37</f>
        <v>3116.6</v>
      </c>
      <c r="F5" s="22">
        <f>'Свод 2021'!J36</f>
        <v>20.88</v>
      </c>
    </row>
    <row r="6" spans="2:4" ht="30">
      <c r="B6" s="178" t="s">
        <v>311</v>
      </c>
      <c r="C6" s="277">
        <f>'Свод 2021'!K37</f>
        <v>310141.4899999999</v>
      </c>
      <c r="D6" s="278"/>
    </row>
    <row r="7" spans="2:4" ht="15">
      <c r="B7" s="40" t="s">
        <v>312</v>
      </c>
      <c r="C7" s="266">
        <f>'Свод 2021'!L37</f>
        <v>747645.72</v>
      </c>
      <c r="D7" s="267"/>
    </row>
    <row r="8" spans="2:4" ht="15">
      <c r="B8" s="40" t="s">
        <v>313</v>
      </c>
      <c r="C8" s="266">
        <f>'Свод 2021'!M37</f>
        <v>724792.05</v>
      </c>
      <c r="D8" s="267"/>
    </row>
    <row r="9" spans="2:4" ht="15">
      <c r="B9" s="40" t="s">
        <v>127</v>
      </c>
      <c r="C9" s="266">
        <f>'Свод 2021'!N37</f>
        <v>0</v>
      </c>
      <c r="D9" s="267"/>
    </row>
    <row r="10" spans="2:6" ht="28.5">
      <c r="B10" s="41" t="s">
        <v>147</v>
      </c>
      <c r="C10" s="279">
        <f>C6+C7-C8-C9</f>
        <v>332995.1599999999</v>
      </c>
      <c r="D10" s="280"/>
      <c r="E10" s="22">
        <f>'Свод 2021'!O37</f>
        <v>332995.1599999999</v>
      </c>
      <c r="F10" s="125"/>
    </row>
    <row r="11" spans="2:4" ht="30">
      <c r="B11" s="178" t="s">
        <v>323</v>
      </c>
      <c r="C11" s="266">
        <f>'Свод 2021'!Q37</f>
        <v>24621.079999999998</v>
      </c>
      <c r="D11" s="267"/>
    </row>
    <row r="12" spans="2:4" ht="15">
      <c r="B12" s="40" t="s">
        <v>314</v>
      </c>
      <c r="C12" s="266">
        <f>'Свод 2021'!R37</f>
        <v>56553.520000000004</v>
      </c>
      <c r="D12" s="267"/>
    </row>
    <row r="13" spans="2:4" ht="15">
      <c r="B13" s="40" t="s">
        <v>315</v>
      </c>
      <c r="C13" s="266">
        <f>'Свод 2021'!S37</f>
        <v>54330.39</v>
      </c>
      <c r="D13" s="267"/>
    </row>
    <row r="14" spans="2:6" ht="28.5">
      <c r="B14" s="41" t="s">
        <v>151</v>
      </c>
      <c r="C14" s="279">
        <f>C11+C12-C13</f>
        <v>26844.210000000006</v>
      </c>
      <c r="D14" s="280"/>
      <c r="E14" s="22">
        <f>'Свод 2021'!T37</f>
        <v>26844.210000000006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316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2021'!W37</f>
        <v>228509.11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2021'!U37</f>
        <v>2617.94</v>
      </c>
    </row>
    <row r="22" spans="2:4" ht="15">
      <c r="B22" s="46" t="s">
        <v>134</v>
      </c>
      <c r="C22" s="47" t="s">
        <v>60</v>
      </c>
      <c r="D22" s="48">
        <f>'Свод 2021'!V37</f>
        <v>58781.590000000004</v>
      </c>
    </row>
    <row r="23" spans="2:4" ht="30">
      <c r="B23" s="46" t="s">
        <v>161</v>
      </c>
      <c r="C23" s="94" t="s">
        <v>138</v>
      </c>
      <c r="D23" s="48">
        <f>'Свод 2021'!AA37+'Свод 2021'!Z37</f>
        <v>35529.229999999996</v>
      </c>
    </row>
    <row r="24" spans="2:4" ht="28.5" customHeight="1">
      <c r="B24" s="124" t="s">
        <v>141</v>
      </c>
      <c r="C24" s="49" t="s">
        <v>140</v>
      </c>
      <c r="D24" s="207">
        <f>'Свод 2021'!AC37</f>
        <v>8079.610000000001</v>
      </c>
    </row>
    <row r="25" spans="2:4" ht="28.5" customHeight="1">
      <c r="B25" s="154" t="s">
        <v>142</v>
      </c>
      <c r="C25" s="98" t="s">
        <v>143</v>
      </c>
      <c r="D25" s="213">
        <f>'Свод 2021'!AB37</f>
        <v>1495.97</v>
      </c>
    </row>
    <row r="26" spans="2:4" ht="21.75" customHeight="1">
      <c r="B26" s="200" t="s">
        <v>153</v>
      </c>
      <c r="C26" s="47" t="s">
        <v>59</v>
      </c>
      <c r="D26" s="201">
        <f>'Свод 2021'!AD37</f>
        <v>32911.3</v>
      </c>
    </row>
    <row r="27" spans="2:4" ht="30.75" customHeight="1">
      <c r="B27" s="105" t="s">
        <v>144</v>
      </c>
      <c r="C27" s="164" t="s">
        <v>135</v>
      </c>
      <c r="D27" s="288">
        <f>'Свод 2021'!AE37</f>
        <v>121173.41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2021'!AG37</f>
        <v>53854.85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2021'!AI37</f>
        <v>128466.51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2021'!AK37</f>
        <v>35529.24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2021'!AL37</f>
        <v>31415.33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2021'!AM37</f>
        <v>54602.83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2021'!AJ37</f>
        <v>60960.7</v>
      </c>
      <c r="E42" s="22">
        <f>D43-C8-C13</f>
        <v>74805.17999999972</v>
      </c>
    </row>
    <row r="43" spans="2:5" ht="15.75" thickBot="1">
      <c r="B43" s="227" t="s">
        <v>252</v>
      </c>
      <c r="C43" s="225"/>
      <c r="D43" s="226">
        <f>SUM(D19:D42)</f>
        <v>853927.6199999998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33" header="0.17" footer="0.1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381</v>
      </c>
      <c r="C3" s="269"/>
      <c r="D3" s="269"/>
    </row>
    <row r="4" spans="2:5" ht="15.75" thickBot="1">
      <c r="B4" s="57" t="s">
        <v>250</v>
      </c>
      <c r="C4" s="224">
        <f>'Свод 2021'!H38</f>
        <v>3101.6</v>
      </c>
      <c r="D4" s="214">
        <f>'Свод 2021'!J38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2021'!H38</f>
        <v>3101.6</v>
      </c>
      <c r="F5" s="22">
        <f>'Свод 2021'!J38</f>
        <v>20.88</v>
      </c>
    </row>
    <row r="6" spans="2:4" ht="30">
      <c r="B6" s="178" t="s">
        <v>338</v>
      </c>
      <c r="C6" s="277">
        <f>'Свод 2021'!K38</f>
        <v>364177.26</v>
      </c>
      <c r="D6" s="278"/>
    </row>
    <row r="7" spans="2:4" ht="15">
      <c r="B7" s="40" t="s">
        <v>339</v>
      </c>
      <c r="C7" s="266">
        <f>'Свод 2021'!L38</f>
        <v>777212.04</v>
      </c>
      <c r="D7" s="267"/>
    </row>
    <row r="8" spans="2:4" ht="15">
      <c r="B8" s="40" t="s">
        <v>340</v>
      </c>
      <c r="C8" s="266">
        <f>'Свод 2021'!M38</f>
        <v>827248.32</v>
      </c>
      <c r="D8" s="267"/>
    </row>
    <row r="9" spans="2:4" ht="15">
      <c r="B9" s="40" t="s">
        <v>127</v>
      </c>
      <c r="C9" s="266">
        <f>'Свод 2021'!N38</f>
        <v>0</v>
      </c>
      <c r="D9" s="267"/>
    </row>
    <row r="10" spans="2:6" ht="28.5">
      <c r="B10" s="41" t="s">
        <v>147</v>
      </c>
      <c r="C10" s="279">
        <f>C6+C7-C8-C9</f>
        <v>314140.9800000001</v>
      </c>
      <c r="D10" s="280"/>
      <c r="E10" s="22">
        <f>'Свод 2021'!O38</f>
        <v>314140.9800000001</v>
      </c>
      <c r="F10" s="125"/>
    </row>
    <row r="11" spans="2:4" ht="30">
      <c r="B11" s="178" t="s">
        <v>323</v>
      </c>
      <c r="C11" s="266">
        <f>'Свод 2021'!Q38</f>
        <v>0</v>
      </c>
      <c r="D11" s="267"/>
    </row>
    <row r="12" spans="2:4" ht="15">
      <c r="B12" s="40" t="s">
        <v>342</v>
      </c>
      <c r="C12" s="266">
        <f>'Свод 2021'!R38</f>
        <v>9930.43</v>
      </c>
      <c r="D12" s="267"/>
    </row>
    <row r="13" spans="2:4" ht="15">
      <c r="B13" s="40" t="s">
        <v>343</v>
      </c>
      <c r="C13" s="266">
        <f>'Свод 2021'!S38</f>
        <v>4093.1</v>
      </c>
      <c r="D13" s="267"/>
    </row>
    <row r="14" spans="2:6" ht="28.5">
      <c r="B14" s="41" t="s">
        <v>151</v>
      </c>
      <c r="C14" s="279">
        <f>C11+C12-C13</f>
        <v>5837.33</v>
      </c>
      <c r="D14" s="280"/>
      <c r="E14" s="22">
        <f>'Свод 2021'!T38</f>
        <v>5837.33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2021'!W38</f>
        <v>227409.31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2021'!U38</f>
        <v>2605.34</v>
      </c>
    </row>
    <row r="22" spans="2:4" ht="15">
      <c r="B22" s="46" t="s">
        <v>134</v>
      </c>
      <c r="C22" s="47" t="s">
        <v>60</v>
      </c>
      <c r="D22" s="48">
        <f>'Свод 2021'!V38</f>
        <v>17891.65</v>
      </c>
    </row>
    <row r="23" spans="2:4" ht="30">
      <c r="B23" s="46" t="s">
        <v>161</v>
      </c>
      <c r="C23" s="94" t="s">
        <v>138</v>
      </c>
      <c r="D23" s="48">
        <f>'Свод 2021'!AA38+'Свод 2021'!Z38</f>
        <v>35358.23</v>
      </c>
    </row>
    <row r="24" spans="2:4" ht="28.5" customHeight="1">
      <c r="B24" s="124" t="s">
        <v>141</v>
      </c>
      <c r="C24" s="49" t="s">
        <v>140</v>
      </c>
      <c r="D24" s="207">
        <f>'Свод 2021'!AC38</f>
        <v>4952.38</v>
      </c>
    </row>
    <row r="25" spans="2:4" ht="28.5" customHeight="1">
      <c r="B25" s="154" t="s">
        <v>142</v>
      </c>
      <c r="C25" s="98" t="s">
        <v>143</v>
      </c>
      <c r="D25" s="213">
        <f>'Свод 2021'!AB38</f>
        <v>1488.77</v>
      </c>
    </row>
    <row r="26" spans="2:4" ht="21.75" customHeight="1">
      <c r="B26" s="200" t="s">
        <v>153</v>
      </c>
      <c r="C26" s="47" t="s">
        <v>59</v>
      </c>
      <c r="D26" s="201">
        <f>'Свод 2021'!AD38</f>
        <v>42683.33</v>
      </c>
    </row>
    <row r="27" spans="2:4" ht="30.75" customHeight="1">
      <c r="B27" s="105" t="s">
        <v>144</v>
      </c>
      <c r="C27" s="164" t="s">
        <v>135</v>
      </c>
      <c r="D27" s="288">
        <f>'Свод 2021'!AE38</f>
        <v>120590.21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2021'!AG38</f>
        <v>53595.65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2021'!AI38</f>
        <v>127906.71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2021'!AK38</f>
        <v>47358.24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2021'!AL38</f>
        <v>39264.130000000005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2021'!AM38</f>
        <v>54340.03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2021'!AJ38</f>
        <v>68667.3</v>
      </c>
      <c r="E42" s="22">
        <f>D43-C8-C13</f>
        <v>12769.860000000195</v>
      </c>
    </row>
    <row r="43" spans="2:5" ht="15" thickBot="1">
      <c r="B43" s="227" t="s">
        <v>252</v>
      </c>
      <c r="C43" s="228"/>
      <c r="D43" s="229">
        <f>SUM(D19:D42)</f>
        <v>844111.2800000001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34" header="0.17" footer="0.17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382</v>
      </c>
      <c r="C3" s="269"/>
      <c r="D3" s="269"/>
    </row>
    <row r="4" spans="2:5" ht="15.75" thickBot="1">
      <c r="B4" s="57" t="s">
        <v>251</v>
      </c>
      <c r="C4" s="224">
        <f>'Свод 2021'!H39</f>
        <v>1919.2</v>
      </c>
      <c r="D4" s="215">
        <f>'Свод 2021'!J39</f>
        <v>33.19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2021'!H39</f>
        <v>1919.2</v>
      </c>
      <c r="F5" s="22">
        <f>'Свод 2021'!J39</f>
        <v>33.19</v>
      </c>
    </row>
    <row r="6" spans="2:4" ht="30">
      <c r="B6" s="178" t="s">
        <v>338</v>
      </c>
      <c r="C6" s="277">
        <f>'Свод 2021'!K39</f>
        <v>187962.77999999997</v>
      </c>
      <c r="D6" s="278"/>
    </row>
    <row r="7" spans="2:4" ht="15">
      <c r="B7" s="40" t="s">
        <v>339</v>
      </c>
      <c r="C7" s="266">
        <f>'Свод 2021'!L39</f>
        <v>543612</v>
      </c>
      <c r="D7" s="267"/>
    </row>
    <row r="8" spans="2:4" ht="15">
      <c r="B8" s="40" t="s">
        <v>340</v>
      </c>
      <c r="C8" s="266">
        <f>'Свод 2021'!M39</f>
        <v>522235.68</v>
      </c>
      <c r="D8" s="267"/>
    </row>
    <row r="9" spans="2:4" ht="15">
      <c r="B9" s="40" t="s">
        <v>127</v>
      </c>
      <c r="C9" s="266">
        <f>'Свод 2021'!N39</f>
        <v>0</v>
      </c>
      <c r="D9" s="267"/>
    </row>
    <row r="10" spans="2:6" ht="28.5">
      <c r="B10" s="41" t="s">
        <v>147</v>
      </c>
      <c r="C10" s="279">
        <f>C6+C7-C8-C9</f>
        <v>209339.10000000003</v>
      </c>
      <c r="D10" s="280"/>
      <c r="E10" s="22">
        <f>'Свод 2021'!O39</f>
        <v>209339.10000000003</v>
      </c>
      <c r="F10" s="125"/>
    </row>
    <row r="11" spans="2:4" ht="30">
      <c r="B11" s="178" t="s">
        <v>323</v>
      </c>
      <c r="C11" s="266">
        <f>'Свод 2021'!Q39</f>
        <v>0</v>
      </c>
      <c r="D11" s="267"/>
    </row>
    <row r="12" spans="2:4" ht="15">
      <c r="B12" s="40" t="s">
        <v>342</v>
      </c>
      <c r="C12" s="266">
        <f>'Свод 2021'!R39</f>
        <v>216675.74</v>
      </c>
      <c r="D12" s="267"/>
    </row>
    <row r="13" spans="2:4" ht="15">
      <c r="B13" s="40" t="s">
        <v>343</v>
      </c>
      <c r="C13" s="266">
        <f>'Свод 2021'!S39</f>
        <v>216675.74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2021'!T39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2021'!W39</f>
        <v>217176.67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2021'!U39</f>
        <v>1612.13</v>
      </c>
    </row>
    <row r="22" spans="2:4" ht="15">
      <c r="B22" s="46" t="s">
        <v>134</v>
      </c>
      <c r="C22" s="47" t="s">
        <v>60</v>
      </c>
      <c r="D22" s="48">
        <f>'Свод 2021'!V39</f>
        <v>29538.49</v>
      </c>
    </row>
    <row r="23" spans="2:4" ht="30">
      <c r="B23" s="46" t="s">
        <v>161</v>
      </c>
      <c r="C23" s="94" t="s">
        <v>138</v>
      </c>
      <c r="D23" s="48">
        <f>'Свод 2021'!AA39+'Свод 2021'!Z39</f>
        <v>48594.14</v>
      </c>
    </row>
    <row r="24" spans="2:4" ht="28.5" customHeight="1">
      <c r="B24" s="124" t="s">
        <v>141</v>
      </c>
      <c r="C24" s="49" t="s">
        <v>140</v>
      </c>
      <c r="D24" s="207">
        <f>'Свод 2021'!AC39</f>
        <v>690.91</v>
      </c>
    </row>
    <row r="25" spans="2:4" ht="28.5" customHeight="1">
      <c r="B25" s="154" t="s">
        <v>142</v>
      </c>
      <c r="C25" s="98" t="s">
        <v>143</v>
      </c>
      <c r="D25" s="213">
        <f>'Свод 2021'!AB39</f>
        <v>921.22</v>
      </c>
    </row>
    <row r="26" spans="2:4" ht="21.75" customHeight="1">
      <c r="B26" s="200" t="s">
        <v>153</v>
      </c>
      <c r="C26" s="47" t="s">
        <v>59</v>
      </c>
      <c r="D26" s="201">
        <f>'Свод 2021'!AD39</f>
        <v>20266.75</v>
      </c>
    </row>
    <row r="27" spans="2:4" ht="30.75" customHeight="1">
      <c r="B27" s="105" t="s">
        <v>144</v>
      </c>
      <c r="C27" s="164" t="s">
        <v>135</v>
      </c>
      <c r="D27" s="288">
        <f>'Свод 2021'!AE39</f>
        <v>117224.74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2021'!AG39</f>
        <v>50666.88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2021'!AI39</f>
        <v>108473.18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2021'!AK39</f>
        <v>57115.39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2021'!AL39</f>
        <v>28327.39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2021'!AM39</f>
        <v>51357.79</v>
      </c>
    </row>
    <row r="41" spans="2:4" ht="19.5" customHeight="1">
      <c r="B41" s="167" t="s">
        <v>149</v>
      </c>
      <c r="C41" s="150"/>
      <c r="D41" s="168"/>
    </row>
    <row r="42" spans="2:4" ht="120.75" thickBot="1">
      <c r="B42" s="158" t="s">
        <v>163</v>
      </c>
      <c r="C42" s="159" t="s">
        <v>139</v>
      </c>
      <c r="D42" s="104">
        <f>'Свод 2021'!AJ39</f>
        <v>58957.82</v>
      </c>
    </row>
    <row r="43" spans="2:5" ht="15.75" thickBot="1">
      <c r="B43" s="227" t="s">
        <v>252</v>
      </c>
      <c r="C43" s="225"/>
      <c r="D43" s="229">
        <f>SUM(D19:D42)</f>
        <v>790923.4999999999</v>
      </c>
      <c r="E43" s="22">
        <f>D43-C8-C13</f>
        <v>52012.0799999999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383</v>
      </c>
      <c r="C3" s="269"/>
      <c r="D3" s="269"/>
    </row>
    <row r="4" spans="2:5" ht="15.75" thickBot="1">
      <c r="B4" s="57" t="s">
        <v>253</v>
      </c>
      <c r="C4" s="224">
        <f>'Свод 2021'!H40</f>
        <v>2246</v>
      </c>
      <c r="D4" s="215">
        <f>'Свод 2021'!J40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2021'!H40</f>
        <v>2246</v>
      </c>
      <c r="F5" s="22">
        <f>'Свод 2021'!J40</f>
        <v>20.88</v>
      </c>
    </row>
    <row r="6" spans="2:4" ht="30">
      <c r="B6" s="178" t="s">
        <v>338</v>
      </c>
      <c r="C6" s="277">
        <f>'Свод 2021'!K40</f>
        <v>108978</v>
      </c>
      <c r="D6" s="278"/>
    </row>
    <row r="7" spans="2:4" ht="15">
      <c r="B7" s="40" t="s">
        <v>339</v>
      </c>
      <c r="C7" s="266">
        <f>'Свод 2021'!L40</f>
        <v>545244</v>
      </c>
      <c r="D7" s="267"/>
    </row>
    <row r="8" spans="2:4" ht="15">
      <c r="B8" s="40" t="s">
        <v>340</v>
      </c>
      <c r="C8" s="266">
        <f>'Свод 2021'!M40</f>
        <v>535448.51</v>
      </c>
      <c r="D8" s="267"/>
    </row>
    <row r="9" spans="2:4" ht="15">
      <c r="B9" s="40" t="s">
        <v>127</v>
      </c>
      <c r="C9" s="266">
        <f>'Свод 2021'!N40</f>
        <v>0</v>
      </c>
      <c r="D9" s="267"/>
    </row>
    <row r="10" spans="2:6" ht="28.5">
      <c r="B10" s="41" t="s">
        <v>147</v>
      </c>
      <c r="C10" s="279">
        <f>C6+C7-C8-C9</f>
        <v>118773.48999999999</v>
      </c>
      <c r="D10" s="280"/>
      <c r="E10" s="22">
        <f>'Свод 2021'!O40</f>
        <v>118773.48999999999</v>
      </c>
      <c r="F10" s="125"/>
    </row>
    <row r="11" spans="2:4" ht="30">
      <c r="B11" s="178" t="s">
        <v>323</v>
      </c>
      <c r="C11" s="266">
        <f>'Свод 2021'!Q40</f>
        <v>52778.44</v>
      </c>
      <c r="D11" s="267"/>
    </row>
    <row r="12" spans="2:4" ht="15">
      <c r="B12" s="40" t="s">
        <v>342</v>
      </c>
      <c r="C12" s="266">
        <f>'Свод 2021'!R40</f>
        <v>25913.64</v>
      </c>
      <c r="D12" s="267"/>
    </row>
    <row r="13" spans="2:4" ht="15">
      <c r="B13" s="40" t="s">
        <v>343</v>
      </c>
      <c r="C13" s="266">
        <f>'Свод 2021'!S40</f>
        <v>3823.58</v>
      </c>
      <c r="D13" s="267"/>
    </row>
    <row r="14" spans="2:6" ht="28.5">
      <c r="B14" s="41" t="s">
        <v>151</v>
      </c>
      <c r="C14" s="279">
        <f>C11+C12-C13</f>
        <v>74868.5</v>
      </c>
      <c r="D14" s="280"/>
      <c r="E14" s="22">
        <f>'Свод 2021'!T40</f>
        <v>74868.5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2021'!W40</f>
        <v>164676.72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2021'!U40</f>
        <v>1886.64</v>
      </c>
    </row>
    <row r="22" spans="2:4" ht="15">
      <c r="B22" s="46" t="s">
        <v>134</v>
      </c>
      <c r="C22" s="47" t="s">
        <v>60</v>
      </c>
      <c r="D22" s="48">
        <f>'Свод 2021'!V40</f>
        <v>41242.23</v>
      </c>
    </row>
    <row r="23" spans="2:4" ht="30">
      <c r="B23" s="46" t="s">
        <v>161</v>
      </c>
      <c r="C23" s="94" t="s">
        <v>138</v>
      </c>
      <c r="D23" s="48">
        <f>'Свод 2021'!AA40+'Свод 2021'!Z40</f>
        <v>25604.4</v>
      </c>
    </row>
    <row r="24" spans="2:4" ht="28.5" customHeight="1">
      <c r="B24" s="124" t="s">
        <v>141</v>
      </c>
      <c r="C24" s="49" t="s">
        <v>140</v>
      </c>
      <c r="D24" s="207">
        <f>'Свод 2021'!AC40</f>
        <v>2107.16</v>
      </c>
    </row>
    <row r="25" spans="2:4" ht="28.5" customHeight="1">
      <c r="B25" s="154" t="s">
        <v>142</v>
      </c>
      <c r="C25" s="98" t="s">
        <v>143</v>
      </c>
      <c r="D25" s="213">
        <f>'Свод 2021'!AB40</f>
        <v>1078.08</v>
      </c>
    </row>
    <row r="26" spans="2:4" ht="21.75" customHeight="1">
      <c r="B26" s="200" t="s">
        <v>153</v>
      </c>
      <c r="C26" s="47" t="s">
        <v>59</v>
      </c>
      <c r="D26" s="201">
        <f>'Свод 2021'!AD40</f>
        <v>23717.76</v>
      </c>
    </row>
    <row r="27" spans="2:4" ht="30.75" customHeight="1">
      <c r="B27" s="105" t="s">
        <v>144</v>
      </c>
      <c r="C27" s="164" t="s">
        <v>135</v>
      </c>
      <c r="D27" s="288">
        <f>'Свод 2021'!AE40</f>
        <v>87324.48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2021'!AG40</f>
        <v>38810.88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2021'!AI40</f>
        <v>83820.72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2021'!AK40</f>
        <v>25604.4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2021'!AL40</f>
        <v>22639.68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2021'!AM40</f>
        <v>39349.92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2021'!AJ40</f>
        <v>43931.76</v>
      </c>
      <c r="E42" s="22">
        <f>D43-C8-C13</f>
        <v>62522.74000000006</v>
      </c>
    </row>
    <row r="43" spans="2:4" ht="15" thickBot="1">
      <c r="B43" s="227" t="s">
        <v>252</v>
      </c>
      <c r="C43" s="228"/>
      <c r="D43" s="229">
        <f>SUM(D19:D42)</f>
        <v>601794.8300000001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D27:D30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25" right="0.24" top="0.17" bottom="0.17" header="0.18" footer="0.17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373</v>
      </c>
      <c r="C3" s="269"/>
      <c r="D3" s="269"/>
    </row>
    <row r="4" spans="2:5" ht="15.75" thickBot="1">
      <c r="B4" s="57" t="s">
        <v>254</v>
      </c>
      <c r="C4" s="224">
        <f>'Свод 2021'!H41</f>
        <v>4409.2</v>
      </c>
      <c r="D4" s="215">
        <f>'Свод 2021'!J41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2021'!H41</f>
        <v>4409.2</v>
      </c>
      <c r="F5" s="22">
        <f>'Свод 2021'!J40</f>
        <v>20.88</v>
      </c>
    </row>
    <row r="6" spans="2:4" ht="30">
      <c r="B6" s="178" t="s">
        <v>338</v>
      </c>
      <c r="C6" s="277">
        <f>'Свод 2021'!K41</f>
        <v>229058.59999999986</v>
      </c>
      <c r="D6" s="278"/>
    </row>
    <row r="7" spans="2:4" ht="15">
      <c r="B7" s="40" t="s">
        <v>339</v>
      </c>
      <c r="C7" s="266">
        <f>'Свод 2021'!L41</f>
        <v>1104715.47</v>
      </c>
      <c r="D7" s="267"/>
    </row>
    <row r="8" spans="2:4" ht="15">
      <c r="B8" s="40" t="s">
        <v>340</v>
      </c>
      <c r="C8" s="266">
        <f>'Свод 2021'!M41</f>
        <v>1024273.7</v>
      </c>
      <c r="D8" s="267"/>
    </row>
    <row r="9" spans="2:4" ht="15">
      <c r="B9" s="40" t="s">
        <v>127</v>
      </c>
      <c r="C9" s="266">
        <f>'Свод 2021'!N41</f>
        <v>0</v>
      </c>
      <c r="D9" s="267"/>
    </row>
    <row r="10" spans="2:6" ht="28.5">
      <c r="B10" s="41" t="s">
        <v>147</v>
      </c>
      <c r="C10" s="279">
        <f>C6+C7-C8-C9</f>
        <v>309500.3699999999</v>
      </c>
      <c r="D10" s="280"/>
      <c r="E10" s="22">
        <f>'Свод 2021'!O41</f>
        <v>309500.3699999999</v>
      </c>
      <c r="F10" s="125"/>
    </row>
    <row r="11" spans="2:4" ht="30">
      <c r="B11" s="178" t="s">
        <v>323</v>
      </c>
      <c r="C11" s="266">
        <f>'Свод 2021'!Q41</f>
        <v>948.39</v>
      </c>
      <c r="D11" s="267"/>
    </row>
    <row r="12" spans="2:4" ht="15">
      <c r="B12" s="40" t="s">
        <v>342</v>
      </c>
      <c r="C12" s="266">
        <f>'Свод 2021'!R41</f>
        <v>38329.15</v>
      </c>
      <c r="D12" s="267"/>
    </row>
    <row r="13" spans="2:4" ht="15">
      <c r="B13" s="40" t="s">
        <v>343</v>
      </c>
      <c r="C13" s="266">
        <f>'Свод 2021'!S41</f>
        <v>39683.99</v>
      </c>
      <c r="D13" s="267"/>
    </row>
    <row r="14" spans="2:6" ht="28.5">
      <c r="B14" s="41" t="s">
        <v>151</v>
      </c>
      <c r="C14" s="279">
        <f>C11+C12-C13</f>
        <v>-406.4499999999971</v>
      </c>
      <c r="D14" s="280"/>
      <c r="E14" s="22">
        <f>'Свод 2021'!T41</f>
        <v>-406.4499999999971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2021'!W41</f>
        <v>323282.54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2021'!U41</f>
        <v>3703.73</v>
      </c>
    </row>
    <row r="22" spans="2:4" ht="15">
      <c r="B22" s="46" t="s">
        <v>134</v>
      </c>
      <c r="C22" s="47" t="s">
        <v>60</v>
      </c>
      <c r="D22" s="48">
        <f>'Свод 2021'!V41</f>
        <v>55762.75</v>
      </c>
    </row>
    <row r="23" spans="2:4" ht="30">
      <c r="B23" s="46" t="s">
        <v>161</v>
      </c>
      <c r="C23" s="94" t="s">
        <v>138</v>
      </c>
      <c r="D23" s="48">
        <f>'Свод 2021'!AA41+'Свод 2021'!Z41</f>
        <v>50264.88</v>
      </c>
    </row>
    <row r="24" spans="2:4" ht="28.5" customHeight="1">
      <c r="B24" s="124" t="s">
        <v>141</v>
      </c>
      <c r="C24" s="49" t="s">
        <v>140</v>
      </c>
      <c r="D24" s="207">
        <f>'Свод 2021'!AC41</f>
        <v>3423.91</v>
      </c>
    </row>
    <row r="25" spans="2:4" ht="28.5" customHeight="1">
      <c r="B25" s="154" t="s">
        <v>142</v>
      </c>
      <c r="C25" s="98" t="s">
        <v>143</v>
      </c>
      <c r="D25" s="213">
        <f>'Свод 2021'!AB41</f>
        <v>2116.42</v>
      </c>
    </row>
    <row r="26" spans="2:4" ht="21.75" customHeight="1">
      <c r="B26" s="200" t="s">
        <v>153</v>
      </c>
      <c r="C26" s="47" t="s">
        <v>59</v>
      </c>
      <c r="D26" s="201">
        <f>'Свод 2021'!AD41</f>
        <v>46561.15</v>
      </c>
    </row>
    <row r="27" spans="2:4" ht="30.75" customHeight="1">
      <c r="B27" s="105" t="s">
        <v>144</v>
      </c>
      <c r="C27" s="164" t="s">
        <v>135</v>
      </c>
      <c r="D27" s="288">
        <f>'Свод 2021'!AE41</f>
        <v>171429.7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2021'!AG41</f>
        <v>76190.98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2021'!AI41</f>
        <v>164551.34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2021'!AK41</f>
        <v>50264.88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2021'!AL41</f>
        <v>44444.74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2021'!AM41</f>
        <v>77249.18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2021'!AJ41</f>
        <v>86243.95</v>
      </c>
      <c r="E42" s="22">
        <f>D43-C8-C13</f>
        <v>91532.45999999996</v>
      </c>
    </row>
    <row r="43" spans="2:4" ht="15" thickBot="1">
      <c r="B43" s="227" t="s">
        <v>252</v>
      </c>
      <c r="C43" s="228"/>
      <c r="D43" s="229">
        <f>SUM(D19:D42)</f>
        <v>1155490.15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4" bottom="0.2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346</v>
      </c>
      <c r="C3" s="269"/>
      <c r="D3" s="269"/>
    </row>
    <row r="4" spans="2:4" ht="15.75" thickBot="1">
      <c r="B4" s="57" t="s">
        <v>212</v>
      </c>
      <c r="C4" s="224">
        <f>'Свод 2021'!H6</f>
        <v>2720.4</v>
      </c>
      <c r="D4" s="215">
        <f>'Свод 2021'!J6</f>
        <v>20.88</v>
      </c>
    </row>
    <row r="5" spans="2:4" ht="31.5" customHeight="1" thickBot="1">
      <c r="B5" s="36" t="s">
        <v>54</v>
      </c>
      <c r="C5" s="275" t="s">
        <v>150</v>
      </c>
      <c r="D5" s="276"/>
    </row>
    <row r="6" spans="2:4" ht="30">
      <c r="B6" s="178" t="s">
        <v>338</v>
      </c>
      <c r="C6" s="277">
        <f>'Свод 2021'!K6</f>
        <v>172905.14999999967</v>
      </c>
      <c r="D6" s="278"/>
    </row>
    <row r="7" spans="2:4" ht="15">
      <c r="B7" s="40" t="s">
        <v>339</v>
      </c>
      <c r="C7" s="266">
        <f>'Свод 2021'!L6</f>
        <v>647622.5</v>
      </c>
      <c r="D7" s="267"/>
    </row>
    <row r="8" spans="2:4" ht="15">
      <c r="B8" s="40" t="s">
        <v>340</v>
      </c>
      <c r="C8" s="266">
        <f>'Свод 2021'!M6</f>
        <v>680082.18</v>
      </c>
      <c r="D8" s="267"/>
    </row>
    <row r="9" spans="2:4" ht="15">
      <c r="B9" s="40" t="s">
        <v>127</v>
      </c>
      <c r="C9" s="266">
        <f>'Свод 2021'!N6</f>
        <v>0</v>
      </c>
      <c r="D9" s="267"/>
    </row>
    <row r="10" spans="2:6" ht="28.5">
      <c r="B10" s="41" t="s">
        <v>147</v>
      </c>
      <c r="C10" s="279">
        <f>C6+C7-C8-C9</f>
        <v>140445.46999999962</v>
      </c>
      <c r="D10" s="280"/>
      <c r="E10" s="22">
        <f>'Свод 2021'!O6</f>
        <v>140445.46999999962</v>
      </c>
      <c r="F10" s="125"/>
    </row>
    <row r="11" spans="2:4" ht="30">
      <c r="B11" s="178" t="s">
        <v>323</v>
      </c>
      <c r="C11" s="266">
        <f>'Свод 2021'!Q6</f>
        <v>10432.84</v>
      </c>
      <c r="D11" s="267"/>
    </row>
    <row r="12" spans="2:4" ht="15">
      <c r="B12" s="40" t="s">
        <v>342</v>
      </c>
      <c r="C12" s="266">
        <f>'Свод 2021'!R6</f>
        <v>64198.95</v>
      </c>
      <c r="D12" s="267"/>
    </row>
    <row r="13" spans="2:4" ht="15">
      <c r="B13" s="40" t="s">
        <v>343</v>
      </c>
      <c r="C13" s="266">
        <f>'Свод 2021'!S6</f>
        <v>68633.39</v>
      </c>
      <c r="D13" s="267"/>
    </row>
    <row r="14" spans="2:6" ht="28.5">
      <c r="B14" s="41" t="s">
        <v>151</v>
      </c>
      <c r="C14" s="279">
        <f>C11+C12-C13</f>
        <v>5998.399999999994</v>
      </c>
      <c r="D14" s="280"/>
      <c r="E14" s="22">
        <f>'Свод 2021'!T6</f>
        <v>5998.399999999994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</f>
        <v>199459.73</v>
      </c>
    </row>
    <row r="20" spans="2:5" ht="15.75" thickBot="1">
      <c r="B20" s="158" t="s">
        <v>152</v>
      </c>
      <c r="C20" s="97" t="s">
        <v>143</v>
      </c>
      <c r="D20" s="289"/>
      <c r="E20" t="s">
        <v>167</v>
      </c>
    </row>
    <row r="21" spans="2:4" ht="30">
      <c r="B21" s="105" t="s">
        <v>160</v>
      </c>
      <c r="C21" s="106" t="s">
        <v>157</v>
      </c>
      <c r="D21" s="170">
        <f>'Свод 2021'!U6</f>
        <v>2285.14</v>
      </c>
    </row>
    <row r="22" spans="2:4" ht="15">
      <c r="B22" s="46" t="s">
        <v>134</v>
      </c>
      <c r="C22" s="47" t="s">
        <v>60</v>
      </c>
      <c r="D22" s="48">
        <f>'Свод 2021'!V6</f>
        <v>14630.15</v>
      </c>
    </row>
    <row r="23" spans="2:4" ht="30">
      <c r="B23" s="46" t="s">
        <v>161</v>
      </c>
      <c r="C23" s="94" t="s">
        <v>138</v>
      </c>
      <c r="D23" s="48">
        <f>'Свод 2021'!AA6+'Свод 2021'!Z6</f>
        <v>31012.57</v>
      </c>
    </row>
    <row r="24" spans="2:4" ht="28.5" customHeight="1">
      <c r="B24" s="124" t="s">
        <v>141</v>
      </c>
      <c r="C24" s="49" t="s">
        <v>140</v>
      </c>
      <c r="D24" s="207">
        <f>'Свод 2021'!AC6</f>
        <v>2039.6599999999999</v>
      </c>
    </row>
    <row r="25" spans="2:4" ht="28.5" customHeight="1">
      <c r="B25" s="154" t="s">
        <v>142</v>
      </c>
      <c r="C25" s="98" t="s">
        <v>143</v>
      </c>
      <c r="D25" s="213">
        <f>'Свод 2021'!AB6</f>
        <v>1305.79</v>
      </c>
    </row>
    <row r="26" spans="2:4" ht="21.75" customHeight="1">
      <c r="B26" s="200" t="s">
        <v>153</v>
      </c>
      <c r="C26" s="47" t="s">
        <v>169</v>
      </c>
      <c r="D26" s="201">
        <f>'Свод 2021'!AD6</f>
        <v>63727.42</v>
      </c>
    </row>
    <row r="27" spans="2:4" ht="30.75" customHeight="1">
      <c r="B27" s="105" t="s">
        <v>144</v>
      </c>
      <c r="C27" s="164" t="s">
        <v>135</v>
      </c>
      <c r="D27" s="288">
        <f>'Свод 2021'!AE6</f>
        <v>105769.15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</f>
        <v>47008.51</v>
      </c>
    </row>
    <row r="32" spans="2:4" ht="30">
      <c r="B32" s="148" t="s">
        <v>133</v>
      </c>
      <c r="C32" s="53"/>
      <c r="D32" s="54"/>
    </row>
    <row r="33" spans="2:4" ht="59.25">
      <c r="B33" s="124" t="s">
        <v>174</v>
      </c>
      <c r="C33" s="94" t="s">
        <v>175</v>
      </c>
      <c r="D33" s="89">
        <f>'Свод 2021'!AI6</f>
        <v>101765.33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</f>
        <v>66012.56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</f>
        <v>47421.630000000005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</f>
        <v>57661.41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</f>
        <v>53211.02</v>
      </c>
      <c r="E42" s="22">
        <f>D43-C8-C13</f>
        <v>44594.500000000015</v>
      </c>
    </row>
    <row r="43" spans="2:5" ht="15" thickBot="1">
      <c r="B43" s="227" t="s">
        <v>252</v>
      </c>
      <c r="C43" s="228"/>
      <c r="D43" s="229">
        <f>SUM(D19:D42)</f>
        <v>793310.0700000001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3" bottom="0.18" header="0.21" footer="0.17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workbookViewId="0" topLeftCell="A1">
      <selection activeCell="C7" sqref="C7:D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332</v>
      </c>
      <c r="C3" s="269"/>
      <c r="D3" s="269"/>
    </row>
    <row r="4" spans="2:5" ht="15.75" thickBot="1">
      <c r="B4" s="57" t="s">
        <v>255</v>
      </c>
      <c r="C4" s="224">
        <f>'Свод 2021'!H42</f>
        <v>2688.6</v>
      </c>
      <c r="D4" s="215">
        <f>'Свод 2021'!J42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2021'!H42</f>
        <v>2688.6</v>
      </c>
      <c r="F5" s="22">
        <f>'Свод 2021'!J42</f>
        <v>20.88</v>
      </c>
    </row>
    <row r="6" spans="2:4" ht="30">
      <c r="B6" s="178" t="s">
        <v>311</v>
      </c>
      <c r="C6" s="277">
        <f>'Свод 2021'!K42</f>
        <v>162400.08000000007</v>
      </c>
      <c r="D6" s="278"/>
    </row>
    <row r="7" spans="2:4" ht="15">
      <c r="B7" s="40" t="s">
        <v>312</v>
      </c>
      <c r="C7" s="266">
        <f>'Свод 2021'!L42</f>
        <v>650863.04</v>
      </c>
      <c r="D7" s="267"/>
    </row>
    <row r="8" spans="2:4" ht="15">
      <c r="B8" s="40" t="s">
        <v>313</v>
      </c>
      <c r="C8" s="266">
        <f>'Свод 2021'!M42</f>
        <v>653304.43</v>
      </c>
      <c r="D8" s="267"/>
    </row>
    <row r="9" spans="2:4" ht="15">
      <c r="B9" s="40" t="s">
        <v>127</v>
      </c>
      <c r="C9" s="266">
        <f>'Свод 2021'!N42</f>
        <v>0</v>
      </c>
      <c r="D9" s="267"/>
    </row>
    <row r="10" spans="2:6" ht="28.5">
      <c r="B10" s="41" t="s">
        <v>147</v>
      </c>
      <c r="C10" s="279">
        <f>C6+C7-C8+C9</f>
        <v>159958.69000000006</v>
      </c>
      <c r="D10" s="280"/>
      <c r="E10" s="22">
        <f>'Свод 2021'!O42</f>
        <v>159958.69000000006</v>
      </c>
      <c r="F10" s="125"/>
    </row>
    <row r="11" spans="2:4" ht="30">
      <c r="B11" s="178" t="s">
        <v>323</v>
      </c>
      <c r="C11" s="266">
        <f>'Свод 2021'!Q42</f>
        <v>2501.87</v>
      </c>
      <c r="D11" s="267"/>
    </row>
    <row r="12" spans="2:4" ht="15">
      <c r="B12" s="40" t="s">
        <v>314</v>
      </c>
      <c r="C12" s="266">
        <f>'Свод 2021'!R42</f>
        <v>64564.62</v>
      </c>
      <c r="D12" s="267"/>
    </row>
    <row r="13" spans="2:4" ht="15">
      <c r="B13" s="40" t="s">
        <v>315</v>
      </c>
      <c r="C13" s="266">
        <f>'Свод 2021'!S42</f>
        <v>55344.19</v>
      </c>
      <c r="D13" s="267"/>
    </row>
    <row r="14" spans="2:6" ht="28.5">
      <c r="B14" s="41" t="s">
        <v>151</v>
      </c>
      <c r="C14" s="279">
        <f>C11+C12-C13</f>
        <v>11722.300000000003</v>
      </c>
      <c r="D14" s="280"/>
      <c r="E14" s="22">
        <f>'Свод 2021'!T42</f>
        <v>11722.300000000003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324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2021'!W42</f>
        <v>197128.15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2021'!U42</f>
        <v>2258.42</v>
      </c>
    </row>
    <row r="22" spans="2:4" ht="15">
      <c r="B22" s="46" t="s">
        <v>134</v>
      </c>
      <c r="C22" s="47" t="s">
        <v>60</v>
      </c>
      <c r="D22" s="48">
        <f>'Свод 2021'!V42</f>
        <v>60403.24</v>
      </c>
    </row>
    <row r="23" spans="2:4" ht="30">
      <c r="B23" s="46" t="s">
        <v>161</v>
      </c>
      <c r="C23" s="94" t="s">
        <v>138</v>
      </c>
      <c r="D23" s="48">
        <f>'Свод 2021'!AA42+'Свод 2021'!Z42</f>
        <v>30650.030000000002</v>
      </c>
    </row>
    <row r="24" spans="2:4" ht="28.5" customHeight="1">
      <c r="B24" s="124" t="s">
        <v>141</v>
      </c>
      <c r="C24" s="49" t="s">
        <v>140</v>
      </c>
      <c r="D24" s="207">
        <f>'Свод 2021'!AC42</f>
        <v>2083.34</v>
      </c>
    </row>
    <row r="25" spans="2:4" ht="28.5" customHeight="1">
      <c r="B25" s="154" t="s">
        <v>142</v>
      </c>
      <c r="C25" s="98" t="s">
        <v>143</v>
      </c>
      <c r="D25" s="213">
        <f>'Свод 2021'!AB42</f>
        <v>1290.53</v>
      </c>
    </row>
    <row r="26" spans="2:4" ht="21.75" customHeight="1">
      <c r="B26" s="200" t="s">
        <v>153</v>
      </c>
      <c r="C26" s="47" t="s">
        <v>59</v>
      </c>
      <c r="D26" s="201">
        <f>'Свод 2021'!AD42</f>
        <v>28391.62</v>
      </c>
    </row>
    <row r="27" spans="2:4" ht="30.75" customHeight="1">
      <c r="B27" s="105" t="s">
        <v>144</v>
      </c>
      <c r="C27" s="164" t="s">
        <v>135</v>
      </c>
      <c r="D27" s="288">
        <f>'Свод 2021'!AE42</f>
        <v>104532.77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2021'!AG42</f>
        <v>46459.01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2021'!AI42</f>
        <v>105353.55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2021'!AK42</f>
        <v>30650.04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2021'!AL42</f>
        <v>27101.09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2021'!AM42</f>
        <v>47104.27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2021'!AJ42</f>
        <v>52589.02</v>
      </c>
      <c r="E42" s="22">
        <f>D43-C8-C13</f>
        <v>27346.460000000137</v>
      </c>
    </row>
    <row r="43" spans="2:4" ht="15" thickBot="1">
      <c r="B43" s="227" t="s">
        <v>252</v>
      </c>
      <c r="C43" s="228"/>
      <c r="D43" s="229">
        <f>SUM(D19:D42)</f>
        <v>735995.0800000002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24" right="0.23" top="0.17" bottom="0.17" header="0.17" footer="0.17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CFF"/>
  </sheetPr>
  <dimension ref="B1:H62"/>
  <sheetViews>
    <sheetView zoomScalePageLayoutView="0" workbookViewId="0" topLeftCell="A1">
      <selection activeCell="E45" sqref="E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319</v>
      </c>
      <c r="C3" s="269"/>
      <c r="D3" s="269"/>
    </row>
    <row r="4" spans="2:5" ht="15.75" thickBot="1">
      <c r="B4" s="57" t="s">
        <v>256</v>
      </c>
      <c r="C4" s="214">
        <f>'Свод 2021'!H43</f>
        <v>1587.5</v>
      </c>
      <c r="D4" s="215" t="str">
        <f>'Свод 2021'!J43</f>
        <v>32,28/21,73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2021'!H43</f>
        <v>1587.5</v>
      </c>
      <c r="F5" s="22" t="str">
        <f>'Свод 2021'!J43</f>
        <v>32,28/21,73</v>
      </c>
    </row>
    <row r="6" spans="2:4" ht="30">
      <c r="B6" s="178" t="s">
        <v>311</v>
      </c>
      <c r="C6" s="277">
        <f>'Свод 2021'!K43</f>
        <v>65846.18999999994</v>
      </c>
      <c r="D6" s="278"/>
    </row>
    <row r="7" spans="2:4" ht="15">
      <c r="B7" s="40" t="s">
        <v>312</v>
      </c>
      <c r="C7" s="266">
        <f>'Свод 2021'!L43</f>
        <v>564825.84</v>
      </c>
      <c r="D7" s="267"/>
    </row>
    <row r="8" spans="2:4" ht="15">
      <c r="B8" s="40" t="s">
        <v>313</v>
      </c>
      <c r="C8" s="266">
        <f>'Свод 2021'!M43</f>
        <v>556037.08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74634.94999999995</v>
      </c>
      <c r="D10" s="280"/>
      <c r="E10" s="22">
        <f>'Свод 2021'!O43</f>
        <v>74634.94999999995</v>
      </c>
      <c r="F10" s="125"/>
    </row>
    <row r="11" spans="2:4" ht="30">
      <c r="B11" s="178" t="s">
        <v>203</v>
      </c>
      <c r="C11" s="266">
        <f>'Свод 2021'!Q43</f>
        <v>0</v>
      </c>
      <c r="D11" s="267"/>
    </row>
    <row r="12" spans="2:4" ht="15">
      <c r="B12" s="40" t="s">
        <v>314</v>
      </c>
      <c r="C12" s="266">
        <f>'Свод 2021'!R43</f>
        <v>0</v>
      </c>
      <c r="D12" s="267"/>
    </row>
    <row r="13" spans="2:4" ht="15">
      <c r="B13" s="40" t="s">
        <v>315</v>
      </c>
      <c r="C13" s="266">
        <f>'Свод 2021'!S43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2021'!T43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316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2021'!W43</f>
        <v>116395.5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2021'!U43</f>
        <v>1333.5</v>
      </c>
    </row>
    <row r="22" spans="2:4" ht="15">
      <c r="B22" s="46" t="s">
        <v>134</v>
      </c>
      <c r="C22" s="47" t="s">
        <v>60</v>
      </c>
      <c r="D22" s="48">
        <f>'Свод 2021'!V43</f>
        <v>2476.5</v>
      </c>
    </row>
    <row r="23" spans="2:4" ht="30">
      <c r="B23" s="46" t="s">
        <v>161</v>
      </c>
      <c r="C23" s="94" t="s">
        <v>138</v>
      </c>
      <c r="D23" s="48">
        <f>'Свод 2021'!AA43+'Свод 2021'!Z43</f>
        <v>18097.5</v>
      </c>
    </row>
    <row r="24" spans="2:4" ht="28.5" customHeight="1">
      <c r="B24" s="124" t="s">
        <v>141</v>
      </c>
      <c r="C24" s="49" t="s">
        <v>140</v>
      </c>
      <c r="D24" s="207">
        <f>'Свод 2021'!AC43</f>
        <v>1348.8400000000001</v>
      </c>
    </row>
    <row r="25" spans="2:4" ht="28.5" customHeight="1">
      <c r="B25" s="154" t="s">
        <v>142</v>
      </c>
      <c r="C25" s="98" t="s">
        <v>143</v>
      </c>
      <c r="D25" s="213">
        <f>'Свод 2021'!AB43</f>
        <v>762</v>
      </c>
    </row>
    <row r="26" spans="2:4" ht="21.75" customHeight="1">
      <c r="B26" s="200" t="s">
        <v>153</v>
      </c>
      <c r="C26" s="47" t="s">
        <v>59</v>
      </c>
      <c r="D26" s="201">
        <f>'Свод 2021'!AD43</f>
        <v>16764</v>
      </c>
    </row>
    <row r="27" spans="2:4" ht="30.75" customHeight="1" thickBot="1">
      <c r="B27" s="105" t="s">
        <v>144</v>
      </c>
      <c r="C27" s="164" t="s">
        <v>135</v>
      </c>
      <c r="D27" s="288">
        <f>'Свод 2021'!AE43</f>
        <v>61722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 customHeight="1">
      <c r="B29" s="296" t="s">
        <v>136</v>
      </c>
      <c r="C29" s="298" t="s">
        <v>137</v>
      </c>
      <c r="D29" s="288"/>
    </row>
    <row r="30" spans="2:4" ht="15" customHeight="1">
      <c r="B30" s="297"/>
      <c r="C30" s="299"/>
      <c r="D30" s="288"/>
    </row>
    <row r="31" spans="2:5" ht="15">
      <c r="B31" s="200" t="s">
        <v>318</v>
      </c>
      <c r="C31" s="94" t="s">
        <v>320</v>
      </c>
      <c r="D31" s="207">
        <f>'Свод 2021'!AF43</f>
        <v>0</v>
      </c>
      <c r="E31" t="s">
        <v>321</v>
      </c>
    </row>
    <row r="32" spans="2:8" ht="15">
      <c r="B32" s="200" t="s">
        <v>191</v>
      </c>
      <c r="C32" s="164" t="s">
        <v>166</v>
      </c>
      <c r="D32" s="207">
        <f>'Свод 2021'!Y43</f>
        <v>161552.72</v>
      </c>
      <c r="H32" s="253"/>
    </row>
    <row r="33" spans="2:4" ht="30">
      <c r="B33" s="175" t="s">
        <v>158</v>
      </c>
      <c r="C33" s="164" t="s">
        <v>166</v>
      </c>
      <c r="D33" s="176">
        <f>'Свод 2021'!AG43</f>
        <v>27432</v>
      </c>
    </row>
    <row r="34" spans="2:4" ht="30">
      <c r="B34" s="148" t="s">
        <v>133</v>
      </c>
      <c r="C34" s="53"/>
      <c r="D34" s="54"/>
    </row>
    <row r="35" spans="2:4" ht="59.25">
      <c r="B35" s="124" t="s">
        <v>182</v>
      </c>
      <c r="C35" s="94" t="s">
        <v>181</v>
      </c>
      <c r="D35" s="89">
        <f>'Свод 2021'!AI43</f>
        <v>59245.5</v>
      </c>
    </row>
    <row r="36" spans="2:4" ht="60.75" thickBot="1">
      <c r="B36" s="148" t="s">
        <v>162</v>
      </c>
      <c r="C36" s="151"/>
      <c r="D36" s="89"/>
    </row>
    <row r="37" spans="2:4" ht="15">
      <c r="B37" s="155" t="s">
        <v>129</v>
      </c>
      <c r="C37" s="156"/>
      <c r="D37" s="157"/>
    </row>
    <row r="38" spans="2:4" ht="120.75" thickBot="1">
      <c r="B38" s="158" t="s">
        <v>154</v>
      </c>
      <c r="C38" s="159" t="s">
        <v>139</v>
      </c>
      <c r="D38" s="160">
        <f>'Свод 2021'!AK43</f>
        <v>34099.5</v>
      </c>
    </row>
    <row r="39" spans="2:4" ht="15">
      <c r="B39" s="155" t="s">
        <v>130</v>
      </c>
      <c r="C39" s="161"/>
      <c r="D39" s="162"/>
    </row>
    <row r="40" spans="2:4" ht="45.75" thickBot="1">
      <c r="B40" s="158" t="s">
        <v>155</v>
      </c>
      <c r="C40" s="159" t="s">
        <v>139</v>
      </c>
      <c r="D40" s="163">
        <f>'Свод 2021'!AL43</f>
        <v>16192.5</v>
      </c>
    </row>
    <row r="41" spans="2:4" ht="15">
      <c r="B41" s="155" t="s">
        <v>131</v>
      </c>
      <c r="C41" s="165"/>
      <c r="D41" s="166"/>
    </row>
    <row r="42" spans="2:4" ht="44.25" customHeight="1" thickBot="1">
      <c r="B42" s="158" t="s">
        <v>148</v>
      </c>
      <c r="C42" s="159" t="s">
        <v>139</v>
      </c>
      <c r="D42" s="163">
        <f>'Свод 2021'!AM43</f>
        <v>27813</v>
      </c>
    </row>
    <row r="43" spans="2:4" ht="19.5" customHeight="1">
      <c r="B43" s="167" t="s">
        <v>149</v>
      </c>
      <c r="C43" s="150"/>
      <c r="D43" s="168"/>
    </row>
    <row r="44" spans="2:5" ht="120.75" thickBot="1">
      <c r="B44" s="158" t="s">
        <v>163</v>
      </c>
      <c r="C44" s="159" t="s">
        <v>139</v>
      </c>
      <c r="D44" s="104">
        <f>'Свод 2021'!AJ43</f>
        <v>31051.5</v>
      </c>
      <c r="E44" s="22">
        <f>D45-C8</f>
        <v>20249.480000000098</v>
      </c>
    </row>
    <row r="45" spans="2:4" ht="15" thickBot="1">
      <c r="B45" s="227" t="s">
        <v>252</v>
      </c>
      <c r="C45" s="228"/>
      <c r="D45" s="229">
        <f>SUM(D19:D44)</f>
        <v>576286.56</v>
      </c>
    </row>
    <row r="46" spans="2:4" ht="15" customHeight="1">
      <c r="B46" s="169" t="s">
        <v>145</v>
      </c>
      <c r="C46" s="284" t="s">
        <v>146</v>
      </c>
      <c r="D46" s="285"/>
    </row>
    <row r="47" spans="2:4" ht="52.5" customHeight="1" thickBot="1">
      <c r="B47" s="153" t="s">
        <v>159</v>
      </c>
      <c r="C47" s="286"/>
      <c r="D47" s="287"/>
    </row>
    <row r="48" spans="2:4" ht="14.25">
      <c r="B48" s="274" t="s">
        <v>226</v>
      </c>
      <c r="C48" s="274"/>
      <c r="D48" s="274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68" t="s">
        <v>87</v>
      </c>
      <c r="C51" s="268"/>
      <c r="D51" s="268"/>
    </row>
    <row r="52" spans="2:4" ht="20.25">
      <c r="B52" s="268" t="s">
        <v>50</v>
      </c>
      <c r="C52" s="268"/>
      <c r="D52" s="268"/>
    </row>
    <row r="53" spans="2:4" ht="20.25">
      <c r="B53" s="268" t="s">
        <v>49</v>
      </c>
      <c r="C53" s="268"/>
      <c r="D53" s="268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64</v>
      </c>
      <c r="C56" s="102"/>
    </row>
    <row r="62" ht="20.25">
      <c r="B62" s="103"/>
    </row>
  </sheetData>
  <sheetProtection/>
  <mergeCells count="26">
    <mergeCell ref="C46:D47"/>
    <mergeCell ref="B48:D48"/>
    <mergeCell ref="B51:D51"/>
    <mergeCell ref="B16:D16"/>
    <mergeCell ref="C17:C18"/>
    <mergeCell ref="D17:D18"/>
    <mergeCell ref="D19:D20"/>
    <mergeCell ref="D27:D30"/>
    <mergeCell ref="B29:B30"/>
    <mergeCell ref="C29:C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2:D52"/>
    <mergeCell ref="B53:D53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363</v>
      </c>
      <c r="C3" s="269"/>
      <c r="D3" s="269"/>
    </row>
    <row r="4" spans="2:5" ht="15.75" thickBot="1">
      <c r="B4" s="57" t="s">
        <v>257</v>
      </c>
      <c r="C4" s="224">
        <f>'Свод 2021'!H44</f>
        <v>2810.3</v>
      </c>
      <c r="D4" s="214">
        <f>'Свод 2021'!J44</f>
        <v>24.2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2021'!H44</f>
        <v>2810.3</v>
      </c>
      <c r="F5" s="22">
        <f>'Свод 2021'!J44</f>
        <v>24.2</v>
      </c>
    </row>
    <row r="6" spans="2:4" ht="30">
      <c r="B6" s="178" t="s">
        <v>338</v>
      </c>
      <c r="C6" s="277">
        <f>'Свод 2021'!K44</f>
        <v>182687.36000000022</v>
      </c>
      <c r="D6" s="278"/>
    </row>
    <row r="7" spans="2:4" ht="15">
      <c r="B7" s="40" t="s">
        <v>339</v>
      </c>
      <c r="C7" s="266">
        <f>'Свод 2021'!L44</f>
        <v>620294.4</v>
      </c>
      <c r="D7" s="267"/>
    </row>
    <row r="8" spans="2:4" ht="15">
      <c r="B8" s="40" t="s">
        <v>340</v>
      </c>
      <c r="C8" s="266">
        <f>'Свод 2021'!M44</f>
        <v>662831.98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140149.78000000026</v>
      </c>
      <c r="D10" s="280"/>
      <c r="E10" s="22">
        <f>'Свод 2021'!O44</f>
        <v>140149.78000000026</v>
      </c>
      <c r="F10" s="125"/>
    </row>
    <row r="11" spans="2:4" ht="30">
      <c r="B11" s="178" t="s">
        <v>323</v>
      </c>
      <c r="C11" s="266">
        <f>'Свод 2021'!Q44</f>
        <v>948.39</v>
      </c>
      <c r="D11" s="267"/>
    </row>
    <row r="12" spans="2:4" ht="15">
      <c r="B12" s="40" t="s">
        <v>342</v>
      </c>
      <c r="C12" s="266">
        <f>'Свод 2021'!R44</f>
        <v>215476.12</v>
      </c>
      <c r="D12" s="267"/>
    </row>
    <row r="13" spans="2:4" ht="15">
      <c r="B13" s="40" t="s">
        <v>343</v>
      </c>
      <c r="C13" s="266">
        <f>'Свод 2021'!S44</f>
        <v>216806.82</v>
      </c>
      <c r="D13" s="267"/>
    </row>
    <row r="14" spans="2:6" ht="28.5">
      <c r="B14" s="41" t="s">
        <v>151</v>
      </c>
      <c r="C14" s="279">
        <f>C11+C12-C13</f>
        <v>-382.3099999999977</v>
      </c>
      <c r="D14" s="280"/>
      <c r="E14" s="22">
        <f>'Свод 2021'!T44</f>
        <v>-382.3099999999977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2021'!W44</f>
        <v>206051.2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2021'!U44</f>
        <v>2360.65</v>
      </c>
    </row>
    <row r="22" spans="2:4" ht="15">
      <c r="B22" s="46" t="s">
        <v>134</v>
      </c>
      <c r="C22" s="47" t="s">
        <v>60</v>
      </c>
      <c r="D22" s="48">
        <f>'Свод 2021'!V44</f>
        <v>4384.07</v>
      </c>
    </row>
    <row r="23" spans="2:4" ht="30">
      <c r="B23" s="46" t="s">
        <v>161</v>
      </c>
      <c r="C23" s="94" t="s">
        <v>138</v>
      </c>
      <c r="D23" s="48">
        <f>'Свод 2021'!AA44+'Свод 2021'!Z44</f>
        <v>32037.420000000002</v>
      </c>
    </row>
    <row r="24" spans="2:4" ht="28.5" customHeight="1">
      <c r="B24" s="124" t="s">
        <v>141</v>
      </c>
      <c r="C24" s="49" t="s">
        <v>140</v>
      </c>
      <c r="D24" s="207">
        <f>'Свод 2021'!AC44</f>
        <v>1011.71</v>
      </c>
    </row>
    <row r="25" spans="2:4" ht="28.5" customHeight="1">
      <c r="B25" s="154" t="s">
        <v>142</v>
      </c>
      <c r="C25" s="98" t="s">
        <v>143</v>
      </c>
      <c r="D25" s="213">
        <f>'Свод 2021'!AB44</f>
        <v>1348.94</v>
      </c>
    </row>
    <row r="26" spans="2:4" ht="21.75" customHeight="1">
      <c r="B26" s="200" t="s">
        <v>153</v>
      </c>
      <c r="C26" s="47" t="s">
        <v>59</v>
      </c>
      <c r="D26" s="201">
        <f>'Свод 2021'!AD44</f>
        <v>54676.770000000004</v>
      </c>
    </row>
    <row r="27" spans="2:4" ht="30.75" customHeight="1">
      <c r="B27" s="105" t="s">
        <v>144</v>
      </c>
      <c r="C27" s="164" t="s">
        <v>135</v>
      </c>
      <c r="D27" s="288">
        <f>'Свод 2021'!AE44</f>
        <v>192561.76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2021'!AG44</f>
        <v>48561.98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2021'!AI44</f>
        <v>105880.4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2021'!AK44</f>
        <v>75365.23999999999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2021'!AL44</f>
        <v>43665.06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2021'!AM44</f>
        <v>49236.46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2021'!AJ44</f>
        <v>69969.47</v>
      </c>
      <c r="E42" s="22">
        <f>D43-C8-C13</f>
        <v>7472.3299999999</v>
      </c>
    </row>
    <row r="43" spans="2:4" ht="15.75" thickBot="1">
      <c r="B43" s="227" t="s">
        <v>252</v>
      </c>
      <c r="C43" s="225"/>
      <c r="D43" s="226">
        <f>SUM(D19:D42)</f>
        <v>887111.1299999999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57" ht="12.75">
      <c r="C57" s="14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" right="0" top="0" bottom="0" header="0.31496062992125984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5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384</v>
      </c>
      <c r="C3" s="269"/>
      <c r="D3" s="269"/>
    </row>
    <row r="4" spans="2:5" ht="15.75" thickBot="1">
      <c r="B4" s="57" t="s">
        <v>258</v>
      </c>
      <c r="C4" s="224">
        <f>'Свод 2021'!H45</f>
        <v>1979.4</v>
      </c>
      <c r="D4" s="215">
        <f>'Свод 2021'!J45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2021'!H45</f>
        <v>1979.4</v>
      </c>
      <c r="F5" s="22">
        <f>'Свод 2021'!J45</f>
        <v>21.73</v>
      </c>
    </row>
    <row r="6" spans="2:4" ht="30">
      <c r="B6" s="178" t="s">
        <v>338</v>
      </c>
      <c r="C6" s="277">
        <f>'Свод 2021'!K45</f>
        <v>49421.859999999695</v>
      </c>
      <c r="D6" s="278"/>
    </row>
    <row r="7" spans="2:4" ht="15">
      <c r="B7" s="40" t="s">
        <v>339</v>
      </c>
      <c r="C7" s="266">
        <f>'Свод 2021'!L45</f>
        <v>516148.92</v>
      </c>
      <c r="D7" s="267"/>
    </row>
    <row r="8" spans="2:4" ht="15">
      <c r="B8" s="40" t="s">
        <v>340</v>
      </c>
      <c r="C8" s="266">
        <f>'Свод 2021'!M45</f>
        <v>502036.86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63533.91999999969</v>
      </c>
      <c r="D10" s="280"/>
      <c r="E10" s="22">
        <f>'Свод 2021'!O45</f>
        <v>63533.91999999969</v>
      </c>
      <c r="F10" s="125"/>
    </row>
    <row r="11" spans="2:4" ht="30">
      <c r="B11" s="178" t="s">
        <v>323</v>
      </c>
      <c r="C11" s="266">
        <f>'Свод 2021'!Q45</f>
        <v>0</v>
      </c>
      <c r="D11" s="267"/>
    </row>
    <row r="12" spans="2:4" ht="15">
      <c r="B12" s="40" t="s">
        <v>342</v>
      </c>
      <c r="C12" s="266">
        <f>'Свод 2021'!R45</f>
        <v>0</v>
      </c>
      <c r="D12" s="267"/>
    </row>
    <row r="13" spans="2:4" ht="15">
      <c r="B13" s="40" t="s">
        <v>343</v>
      </c>
      <c r="C13" s="266">
        <f>'Свод 2021'!S45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2021'!T45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2021'!W45</f>
        <v>145129.61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2021'!U45</f>
        <v>1662.7</v>
      </c>
    </row>
    <row r="22" spans="2:4" ht="15">
      <c r="B22" s="46" t="s">
        <v>134</v>
      </c>
      <c r="C22" s="47" t="s">
        <v>60</v>
      </c>
      <c r="D22" s="48">
        <f>'Свод 2021'!V45</f>
        <v>11001.8</v>
      </c>
    </row>
    <row r="23" spans="2:4" ht="30">
      <c r="B23" s="46" t="s">
        <v>161</v>
      </c>
      <c r="C23" s="94" t="s">
        <v>138</v>
      </c>
      <c r="D23" s="48">
        <f>'Свод 2021'!AA45+'Свод 2021'!Z45</f>
        <v>22565.17</v>
      </c>
    </row>
    <row r="24" spans="2:4" ht="28.5" customHeight="1">
      <c r="B24" s="124" t="s">
        <v>141</v>
      </c>
      <c r="C24" s="49" t="s">
        <v>140</v>
      </c>
      <c r="D24" s="207">
        <f>'Свод 2021'!AC45</f>
        <v>712.58</v>
      </c>
    </row>
    <row r="25" spans="2:4" ht="28.5" customHeight="1">
      <c r="B25" s="154" t="s">
        <v>142</v>
      </c>
      <c r="C25" s="98" t="s">
        <v>143</v>
      </c>
      <c r="D25" s="213">
        <f>'Свод 2021'!AB45</f>
        <v>950.11</v>
      </c>
    </row>
    <row r="26" spans="2:4" ht="21.75" customHeight="1">
      <c r="B26" s="200" t="s">
        <v>153</v>
      </c>
      <c r="C26" s="47" t="s">
        <v>59</v>
      </c>
      <c r="D26" s="201">
        <f>'Свод 2021'!AD45</f>
        <v>20902.46</v>
      </c>
    </row>
    <row r="27" spans="2:4" ht="30.75" customHeight="1">
      <c r="B27" s="105" t="s">
        <v>144</v>
      </c>
      <c r="C27" s="164" t="s">
        <v>135</v>
      </c>
      <c r="D27" s="288">
        <f>'Свод 2021'!AE45</f>
        <v>76959.07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2021'!AG45</f>
        <v>34204.03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2021'!AI45</f>
        <v>79420.21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2021'!AK45</f>
        <v>42517.51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2021'!AL45</f>
        <v>20189.88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2021'!AM45</f>
        <v>34679.09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2021'!AJ45</f>
        <v>38717.06</v>
      </c>
      <c r="E42" s="22">
        <f>D43-C8-C13</f>
        <v>27574.420000000042</v>
      </c>
    </row>
    <row r="43" spans="2:4" ht="15" thickBot="1">
      <c r="B43" s="227" t="s">
        <v>252</v>
      </c>
      <c r="C43" s="228"/>
      <c r="D43" s="229">
        <f>SUM(D19:D42)</f>
        <v>529611.28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354</v>
      </c>
      <c r="C3" s="269"/>
      <c r="D3" s="269"/>
    </row>
    <row r="4" spans="2:5" ht="15.75" thickBot="1">
      <c r="B4" s="57" t="s">
        <v>259</v>
      </c>
      <c r="C4" s="224">
        <f>'Свод 2021'!H46</f>
        <v>2732.4</v>
      </c>
      <c r="D4" s="215">
        <f>'Свод 2021'!J46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2021'!H46</f>
        <v>2732.4</v>
      </c>
      <c r="F5" s="22">
        <f>'Свод 2021'!J46</f>
        <v>20.88</v>
      </c>
    </row>
    <row r="6" spans="2:4" ht="30">
      <c r="B6" s="178" t="s">
        <v>338</v>
      </c>
      <c r="C6" s="277">
        <f>'Свод 2021'!K46</f>
        <v>444181.91000000003</v>
      </c>
      <c r="D6" s="278"/>
    </row>
    <row r="7" spans="2:4" ht="15">
      <c r="B7" s="40" t="s">
        <v>339</v>
      </c>
      <c r="C7" s="266">
        <f>'Свод 2021'!L46</f>
        <v>686083.56</v>
      </c>
      <c r="D7" s="267"/>
    </row>
    <row r="8" spans="2:4" ht="15">
      <c r="B8" s="40" t="s">
        <v>340</v>
      </c>
      <c r="C8" s="266">
        <f>'Свод 2021'!M46</f>
        <v>702446.08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427819.39000000025</v>
      </c>
      <c r="D10" s="280"/>
      <c r="E10" s="22">
        <f>'Свод 2021'!O46</f>
        <v>427819.39000000025</v>
      </c>
      <c r="F10" s="125"/>
    </row>
    <row r="11" spans="2:4" ht="30">
      <c r="B11" s="178" t="s">
        <v>323</v>
      </c>
      <c r="C11" s="266">
        <f>'Свод 2021'!Q46</f>
        <v>2501.84</v>
      </c>
      <c r="D11" s="267"/>
    </row>
    <row r="12" spans="2:4" ht="15">
      <c r="B12" s="40" t="s">
        <v>342</v>
      </c>
      <c r="C12" s="266">
        <f>'Свод 2021'!R46</f>
        <v>29649.25</v>
      </c>
      <c r="D12" s="267"/>
    </row>
    <row r="13" spans="2:4" ht="15">
      <c r="B13" s="40" t="s">
        <v>343</v>
      </c>
      <c r="C13" s="266">
        <f>'Свод 2021'!S46</f>
        <v>32169.2</v>
      </c>
      <c r="D13" s="267"/>
    </row>
    <row r="14" spans="2:6" ht="28.5">
      <c r="B14" s="41" t="s">
        <v>151</v>
      </c>
      <c r="C14" s="279">
        <f>C11+C12-C13</f>
        <v>-18.110000000000582</v>
      </c>
      <c r="D14" s="280"/>
      <c r="E14" s="22">
        <f>'Свод 2021'!T46</f>
        <v>-18.110000000000582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2021'!W46</f>
        <v>200339.57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2021'!U46</f>
        <v>2295.22</v>
      </c>
    </row>
    <row r="22" spans="2:4" ht="15">
      <c r="B22" s="46" t="s">
        <v>134</v>
      </c>
      <c r="C22" s="47" t="s">
        <v>60</v>
      </c>
      <c r="D22" s="48">
        <f>'Свод 2021'!V46</f>
        <v>43442.81</v>
      </c>
    </row>
    <row r="23" spans="2:4" ht="30">
      <c r="B23" s="46" t="s">
        <v>161</v>
      </c>
      <c r="C23" s="94" t="s">
        <v>138</v>
      </c>
      <c r="D23" s="48">
        <f>'Свод 2021'!AA46+'Свод 2021'!Z46</f>
        <v>31149.37</v>
      </c>
    </row>
    <row r="24" spans="2:4" ht="28.5" customHeight="1">
      <c r="B24" s="124" t="s">
        <v>141</v>
      </c>
      <c r="C24" s="49" t="s">
        <v>140</v>
      </c>
      <c r="D24" s="207">
        <f>'Свод 2021'!AC46</f>
        <v>2931.66</v>
      </c>
    </row>
    <row r="25" spans="2:4" ht="28.5" customHeight="1">
      <c r="B25" s="154" t="s">
        <v>142</v>
      </c>
      <c r="C25" s="98" t="s">
        <v>143</v>
      </c>
      <c r="D25" s="213">
        <f>'Свод 2021'!AB46</f>
        <v>1311.55</v>
      </c>
    </row>
    <row r="26" spans="2:4" ht="21.75" customHeight="1">
      <c r="B26" s="200" t="s">
        <v>153</v>
      </c>
      <c r="C26" s="47" t="s">
        <v>59</v>
      </c>
      <c r="D26" s="201">
        <f>'Свод 2021'!AD46</f>
        <v>61023.34</v>
      </c>
    </row>
    <row r="27" spans="2:4" ht="30.75" customHeight="1">
      <c r="B27" s="105" t="s">
        <v>144</v>
      </c>
      <c r="C27" s="164" t="s">
        <v>135</v>
      </c>
      <c r="D27" s="288">
        <f>'Свод 2021'!AE46</f>
        <v>106235.71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2021'!AG46</f>
        <v>47215.87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2021'!AI46</f>
        <v>101973.17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2021'!AK46</f>
        <v>31149.36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2021'!AL46</f>
        <v>27542.59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2021'!AM46</f>
        <v>47871.65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2021'!AJ46</f>
        <v>53445.74</v>
      </c>
      <c r="E42" s="22">
        <f>D43-C8-C13</f>
        <v>23312.330000000027</v>
      </c>
    </row>
    <row r="43" spans="2:4" ht="15" thickBot="1">
      <c r="B43" s="227" t="s">
        <v>252</v>
      </c>
      <c r="C43" s="228"/>
      <c r="D43" s="229">
        <f>SUM(D19:D42)</f>
        <v>757927.61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49:D49"/>
    <mergeCell ref="B50:D50"/>
    <mergeCell ref="C9:D9"/>
    <mergeCell ref="C10:D10"/>
    <mergeCell ref="C11:D11"/>
    <mergeCell ref="C12:D12"/>
    <mergeCell ref="C13:D13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C8:D8"/>
    <mergeCell ref="B1:D1"/>
    <mergeCell ref="B2:D2"/>
    <mergeCell ref="B3:D3"/>
    <mergeCell ref="C5:D5"/>
    <mergeCell ref="C6:D6"/>
    <mergeCell ref="C7:D7"/>
  </mergeCells>
  <printOptions/>
  <pageMargins left="0.24" right="0.24" top="0.17" bottom="0.21" header="0.17" footer="0.17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385</v>
      </c>
      <c r="C3" s="269"/>
      <c r="D3" s="269"/>
    </row>
    <row r="4" spans="2:5" ht="15.75" thickBot="1">
      <c r="B4" s="57" t="s">
        <v>260</v>
      </c>
      <c r="C4" s="224">
        <f>'Свод 2021'!H47</f>
        <v>2671.5</v>
      </c>
      <c r="D4" s="215">
        <f>'Свод 2021'!J47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2021'!H47</f>
        <v>2671.5</v>
      </c>
      <c r="F5" s="22">
        <f>'Свод 2021'!J47</f>
        <v>20.88</v>
      </c>
    </row>
    <row r="6" spans="2:4" ht="30">
      <c r="B6" s="178" t="s">
        <v>338</v>
      </c>
      <c r="C6" s="277">
        <f>'Свод 2021'!K47</f>
        <v>132284.19999999995</v>
      </c>
      <c r="D6" s="278"/>
    </row>
    <row r="7" spans="2:4" ht="15">
      <c r="B7" s="40" t="s">
        <v>339</v>
      </c>
      <c r="C7" s="266">
        <f>'Свод 2021'!L47</f>
        <v>680429</v>
      </c>
      <c r="D7" s="267"/>
    </row>
    <row r="8" spans="2:4" ht="15">
      <c r="B8" s="40" t="s">
        <v>340</v>
      </c>
      <c r="C8" s="266">
        <f>'Свод 2021'!M47</f>
        <v>669083.29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143629.90999999992</v>
      </c>
      <c r="D10" s="280"/>
      <c r="E10" s="22">
        <f>'Свод 2021'!O47</f>
        <v>143629.90999999992</v>
      </c>
      <c r="F10" s="125"/>
    </row>
    <row r="11" spans="2:4" ht="30">
      <c r="B11" s="178" t="s">
        <v>323</v>
      </c>
      <c r="C11" s="266">
        <f>'Свод 2021'!Q47</f>
        <v>1553.48</v>
      </c>
      <c r="D11" s="267"/>
    </row>
    <row r="12" spans="2:4" ht="15">
      <c r="B12" s="40" t="s">
        <v>342</v>
      </c>
      <c r="C12" s="266">
        <f>'Свод 2021'!R47</f>
        <v>4660.43</v>
      </c>
      <c r="D12" s="267"/>
    </row>
    <row r="13" spans="2:4" ht="15">
      <c r="B13" s="40" t="s">
        <v>343</v>
      </c>
      <c r="C13" s="266">
        <f>'Свод 2021'!S47</f>
        <v>5825.54</v>
      </c>
      <c r="D13" s="267"/>
    </row>
    <row r="14" spans="2:6" ht="28.5">
      <c r="B14" s="41" t="s">
        <v>151</v>
      </c>
      <c r="C14" s="279">
        <f>C11+C12-C13</f>
        <v>388.3699999999999</v>
      </c>
      <c r="D14" s="280"/>
      <c r="E14" s="22">
        <f>'Свод 2021'!T47</f>
        <v>388.3699999999999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2021'!W47</f>
        <v>195874.38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2021'!U47</f>
        <v>2244.06</v>
      </c>
    </row>
    <row r="22" spans="2:4" ht="15">
      <c r="B22" s="46" t="s">
        <v>134</v>
      </c>
      <c r="C22" s="47" t="s">
        <v>60</v>
      </c>
      <c r="D22" s="48">
        <f>'Свод 2021'!V47</f>
        <v>58986.54</v>
      </c>
    </row>
    <row r="23" spans="2:4" ht="30">
      <c r="B23" s="46" t="s">
        <v>161</v>
      </c>
      <c r="C23" s="94" t="s">
        <v>138</v>
      </c>
      <c r="D23" s="48">
        <f>'Свод 2021'!AA47+'Свод 2021'!Z47</f>
        <v>30455.100000000002</v>
      </c>
    </row>
    <row r="24" spans="2:4" ht="28.5" customHeight="1">
      <c r="B24" s="124" t="s">
        <v>141</v>
      </c>
      <c r="C24" s="49" t="s">
        <v>140</v>
      </c>
      <c r="D24" s="207">
        <f>'Свод 2021'!AC47</f>
        <v>2457.3</v>
      </c>
    </row>
    <row r="25" spans="2:4" ht="28.5" customHeight="1">
      <c r="B25" s="154" t="s">
        <v>142</v>
      </c>
      <c r="C25" s="98" t="s">
        <v>143</v>
      </c>
      <c r="D25" s="213">
        <f>'Свод 2021'!AB47</f>
        <v>1282.32</v>
      </c>
    </row>
    <row r="26" spans="2:4" ht="21.75" customHeight="1">
      <c r="B26" s="200" t="s">
        <v>153</v>
      </c>
      <c r="C26" s="47" t="s">
        <v>59</v>
      </c>
      <c r="D26" s="201">
        <f>'Свод 2021'!AD47</f>
        <v>28211.04</v>
      </c>
    </row>
    <row r="27" spans="2:4" ht="30.75" customHeight="1">
      <c r="B27" s="105" t="s">
        <v>144</v>
      </c>
      <c r="C27" s="164" t="s">
        <v>135</v>
      </c>
      <c r="D27" s="288">
        <f>'Свод 2021'!AE47</f>
        <v>103867.92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2021'!AG47</f>
        <v>46163.52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2021'!AI47</f>
        <v>99700.38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2021'!AK47</f>
        <v>30455.1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2021'!AL47</f>
        <v>26928.72</v>
      </c>
    </row>
    <row r="39" spans="2:4" ht="14.25" customHeight="1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2021'!AM47</f>
        <v>46804.68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2021'!AJ47</f>
        <v>52254.54</v>
      </c>
      <c r="E42" s="22">
        <f>D43-C8-C13</f>
        <v>50776.770000000055</v>
      </c>
    </row>
    <row r="43" spans="2:4" ht="15" thickBot="1">
      <c r="B43" s="227" t="s">
        <v>252</v>
      </c>
      <c r="C43" s="228"/>
      <c r="D43" s="229">
        <f>SUM(D19:D42)</f>
        <v>725685.6000000001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B1:D1"/>
    <mergeCell ref="B2:D2"/>
    <mergeCell ref="B3:D3"/>
    <mergeCell ref="C5:D5"/>
    <mergeCell ref="C6:D6"/>
    <mergeCell ref="C7:D7"/>
    <mergeCell ref="C8:D8"/>
    <mergeCell ref="C9:D9"/>
    <mergeCell ref="C44:D45"/>
    <mergeCell ref="B46:D46"/>
    <mergeCell ref="B49:D49"/>
    <mergeCell ref="B50:D50"/>
    <mergeCell ref="C10:D10"/>
    <mergeCell ref="C11:D11"/>
    <mergeCell ref="C12:D12"/>
    <mergeCell ref="C13:D13"/>
  </mergeCells>
  <printOptions/>
  <pageMargins left="0.2362204724409449" right="0.2362204724409449" top="0.15748031496062992" bottom="0.31496062992125984" header="0.15748031496062992" footer="0.1574803149606299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B1:F6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386</v>
      </c>
      <c r="C3" s="269"/>
      <c r="D3" s="269"/>
    </row>
    <row r="4" spans="2:5" ht="15.75" thickBot="1">
      <c r="B4" s="57" t="s">
        <v>261</v>
      </c>
      <c r="C4" s="224">
        <f>'Свод 2021'!H48</f>
        <v>5117.2</v>
      </c>
      <c r="D4" s="215">
        <f>'Свод 2021'!J48</f>
        <v>25.92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2021'!H48</f>
        <v>5117.2</v>
      </c>
      <c r="F5" s="22">
        <f>'Свод 2021'!J48</f>
        <v>25.92</v>
      </c>
    </row>
    <row r="6" spans="2:4" ht="30">
      <c r="B6" s="178" t="s">
        <v>338</v>
      </c>
      <c r="C6" s="277">
        <f>'Свод 2021'!K48</f>
        <v>139869.3799999999</v>
      </c>
      <c r="D6" s="278"/>
    </row>
    <row r="7" spans="2:4" ht="15">
      <c r="B7" s="40" t="s">
        <v>339</v>
      </c>
      <c r="C7" s="266">
        <f>'Свод 2021'!L48</f>
        <v>1048080.36</v>
      </c>
      <c r="D7" s="267"/>
    </row>
    <row r="8" spans="2:4" ht="15">
      <c r="B8" s="40" t="s">
        <v>340</v>
      </c>
      <c r="C8" s="266">
        <f>'Свод 2021'!M48</f>
        <v>1081939.26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106010.47999999975</v>
      </c>
      <c r="D10" s="280"/>
      <c r="E10" s="22">
        <f>'Свод 2021'!O48</f>
        <v>106010.47999999975</v>
      </c>
      <c r="F10" s="125"/>
    </row>
    <row r="11" spans="2:4" ht="30">
      <c r="B11" s="178" t="s">
        <v>323</v>
      </c>
      <c r="C11" s="266">
        <f>'Свод 2021'!Q48</f>
        <v>51037.97</v>
      </c>
      <c r="D11" s="267"/>
    </row>
    <row r="12" spans="2:4" ht="15">
      <c r="B12" s="40" t="s">
        <v>342</v>
      </c>
      <c r="C12" s="266">
        <f>'Свод 2021'!R48</f>
        <v>562625.97</v>
      </c>
      <c r="D12" s="267"/>
    </row>
    <row r="13" spans="2:4" ht="15">
      <c r="B13" s="40" t="s">
        <v>343</v>
      </c>
      <c r="C13" s="266">
        <f>'Свод 2021'!S48</f>
        <v>576848.38</v>
      </c>
      <c r="D13" s="267"/>
    </row>
    <row r="14" spans="2:6" ht="28.5">
      <c r="B14" s="41" t="s">
        <v>151</v>
      </c>
      <c r="C14" s="279">
        <f>C11+C12-C13</f>
        <v>36815.55999999994</v>
      </c>
      <c r="D14" s="280"/>
      <c r="E14" s="22">
        <f>'Свод 2021'!T48</f>
        <v>36815.55999999994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2021'!W48</f>
        <v>375193.1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2021'!U48</f>
        <v>4298.45</v>
      </c>
    </row>
    <row r="22" spans="2:4" ht="15">
      <c r="B22" s="46" t="s">
        <v>134</v>
      </c>
      <c r="C22" s="47" t="s">
        <v>60</v>
      </c>
      <c r="D22" s="48">
        <f>'Свод 2021'!V48</f>
        <v>7982.83</v>
      </c>
    </row>
    <row r="23" spans="2:4" ht="30">
      <c r="B23" s="46" t="s">
        <v>161</v>
      </c>
      <c r="C23" s="94" t="s">
        <v>138</v>
      </c>
      <c r="D23" s="48">
        <f>'Свод 2021'!AA48+'Свод 2021'!Z48</f>
        <v>58336.079999999994</v>
      </c>
    </row>
    <row r="24" spans="2:4" ht="28.5" customHeight="1">
      <c r="B24" s="124" t="s">
        <v>141</v>
      </c>
      <c r="C24" s="49" t="s">
        <v>140</v>
      </c>
      <c r="D24" s="207">
        <f>'Свод 2021'!AC48</f>
        <v>2911.3900000000003</v>
      </c>
    </row>
    <row r="25" spans="2:4" ht="28.5" customHeight="1">
      <c r="B25" s="154" t="s">
        <v>142</v>
      </c>
      <c r="C25" s="98" t="s">
        <v>143</v>
      </c>
      <c r="D25" s="207">
        <f>'Свод 2021'!AB48</f>
        <v>2456.26</v>
      </c>
    </row>
    <row r="26" spans="2:4" ht="21.75" customHeight="1">
      <c r="B26" s="200" t="s">
        <v>153</v>
      </c>
      <c r="C26" s="47" t="s">
        <v>59</v>
      </c>
      <c r="D26" s="201">
        <f>'Свод 2021'!AD48</f>
        <v>74037.63</v>
      </c>
    </row>
    <row r="27" spans="2:4" ht="30.75" customHeight="1" thickBot="1">
      <c r="B27" s="105" t="s">
        <v>144</v>
      </c>
      <c r="C27" s="164" t="s">
        <v>135</v>
      </c>
      <c r="D27" s="288">
        <f>'Свод 2021'!AE48</f>
        <v>456249.55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 customHeight="1">
      <c r="B29" s="296" t="s">
        <v>136</v>
      </c>
      <c r="C29" s="298" t="s">
        <v>137</v>
      </c>
      <c r="D29" s="288"/>
    </row>
    <row r="30" spans="2:4" ht="15.75" customHeight="1" thickBot="1">
      <c r="B30" s="300"/>
      <c r="C30" s="301"/>
      <c r="D30" s="288"/>
    </row>
    <row r="31" spans="2:5" ht="15.75" thickBot="1">
      <c r="B31" s="198" t="s">
        <v>325</v>
      </c>
      <c r="C31" s="191" t="s">
        <v>326</v>
      </c>
      <c r="D31" s="231">
        <f>'Свод 2021'!AF48</f>
        <v>0</v>
      </c>
      <c r="E31" t="s">
        <v>327</v>
      </c>
    </row>
    <row r="32" spans="2:4" ht="30">
      <c r="B32" s="175" t="s">
        <v>158</v>
      </c>
      <c r="C32" s="164" t="s">
        <v>166</v>
      </c>
      <c r="D32" s="176">
        <f>'Свод 2021'!AG48</f>
        <v>88425.22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2021'!AI48</f>
        <v>190973.9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2021'!AK48</f>
        <v>124917.46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2021'!AL48</f>
        <v>82195.44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2021'!AM48</f>
        <v>94653.34</v>
      </c>
    </row>
    <row r="42" spans="2:4" ht="19.5" customHeight="1">
      <c r="B42" s="167" t="s">
        <v>149</v>
      </c>
      <c r="C42" s="150"/>
      <c r="D42" s="168"/>
    </row>
    <row r="43" spans="2:6" ht="120.75" thickBot="1">
      <c r="B43" s="154" t="s">
        <v>163</v>
      </c>
      <c r="C43" s="151" t="s">
        <v>139</v>
      </c>
      <c r="D43" s="219">
        <f>'Свод 2021'!AJ48</f>
        <v>105092.43</v>
      </c>
      <c r="E43" s="22">
        <f>D44-C8-C13</f>
        <v>8935.439999999828</v>
      </c>
      <c r="F43" s="22"/>
    </row>
    <row r="44" spans="2:6" ht="15" thickBot="1">
      <c r="B44" s="227" t="s">
        <v>252</v>
      </c>
      <c r="C44" s="232"/>
      <c r="D44" s="233">
        <f>SUM(D19:D43)</f>
        <v>1667723.0799999998</v>
      </c>
      <c r="E44" s="22"/>
      <c r="F44" s="22"/>
    </row>
    <row r="45" spans="2:6" ht="15" customHeight="1">
      <c r="B45" s="230" t="s">
        <v>145</v>
      </c>
      <c r="C45" s="294" t="s">
        <v>146</v>
      </c>
      <c r="D45" s="295"/>
      <c r="E45" s="22"/>
      <c r="F45" s="22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214</v>
      </c>
      <c r="C47" s="274"/>
      <c r="D47" s="274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8" t="s">
        <v>87</v>
      </c>
      <c r="C50" s="268"/>
      <c r="D50" s="268"/>
    </row>
    <row r="51" spans="2:4" ht="20.25">
      <c r="B51" s="268" t="s">
        <v>50</v>
      </c>
      <c r="C51" s="268"/>
      <c r="D51" s="268"/>
    </row>
    <row r="52" spans="2:4" ht="20.25">
      <c r="B52" s="268" t="s">
        <v>49</v>
      </c>
      <c r="C52" s="268"/>
      <c r="D52" s="268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64</v>
      </c>
      <c r="C55" s="102"/>
    </row>
    <row r="61" ht="20.25">
      <c r="B61" s="103"/>
    </row>
  </sheetData>
  <sheetProtection/>
  <mergeCells count="26">
    <mergeCell ref="D27:D30"/>
    <mergeCell ref="C45:D46"/>
    <mergeCell ref="B47:D47"/>
    <mergeCell ref="B50:D50"/>
    <mergeCell ref="B16:D16"/>
    <mergeCell ref="C17:C18"/>
    <mergeCell ref="D17:D18"/>
    <mergeCell ref="D19:D20"/>
    <mergeCell ref="B29:B30"/>
    <mergeCell ref="C29:C30"/>
    <mergeCell ref="B1:D1"/>
    <mergeCell ref="B2:D2"/>
    <mergeCell ref="B3:D3"/>
    <mergeCell ref="C5:D5"/>
    <mergeCell ref="C6:D6"/>
    <mergeCell ref="C7:D7"/>
    <mergeCell ref="B51:D51"/>
    <mergeCell ref="B52:D52"/>
    <mergeCell ref="C8:D8"/>
    <mergeCell ref="C9:D9"/>
    <mergeCell ref="C10:D10"/>
    <mergeCell ref="C11:D11"/>
    <mergeCell ref="C12:D12"/>
    <mergeCell ref="C13:D13"/>
    <mergeCell ref="C14:D14"/>
    <mergeCell ref="B15:D15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387</v>
      </c>
      <c r="C3" s="269"/>
      <c r="D3" s="269"/>
    </row>
    <row r="4" spans="2:5" ht="15.75" thickBot="1">
      <c r="B4" s="57" t="s">
        <v>262</v>
      </c>
      <c r="C4" s="224">
        <f>'Свод 2021'!H49</f>
        <v>2708.1</v>
      </c>
      <c r="D4" s="215">
        <f>'Свод 2021'!J49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2021'!H49</f>
        <v>2708.1</v>
      </c>
      <c r="F5" s="22">
        <f>'Свод 2021'!J49</f>
        <v>20.88</v>
      </c>
    </row>
    <row r="6" spans="2:4" ht="30">
      <c r="B6" s="178" t="s">
        <v>338</v>
      </c>
      <c r="C6" s="277">
        <f>'Свод 2021'!K49</f>
        <v>151705.21999999997</v>
      </c>
      <c r="D6" s="278"/>
    </row>
    <row r="7" spans="2:4" ht="15">
      <c r="B7" s="40" t="s">
        <v>339</v>
      </c>
      <c r="C7" s="266">
        <f>'Свод 2021'!L49</f>
        <v>677814.6</v>
      </c>
      <c r="D7" s="267"/>
    </row>
    <row r="8" spans="2:4" ht="15">
      <c r="B8" s="40" t="s">
        <v>340</v>
      </c>
      <c r="C8" s="266">
        <f>'Свод 2021'!M49</f>
        <v>668991.48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160528.33999999997</v>
      </c>
      <c r="D10" s="280"/>
      <c r="E10" s="22">
        <f>'Свод 2021'!O49</f>
        <v>160528.33999999997</v>
      </c>
      <c r="F10" s="125"/>
    </row>
    <row r="11" spans="2:4" ht="30">
      <c r="B11" s="178" t="s">
        <v>323</v>
      </c>
      <c r="C11" s="266">
        <f>'Свод 2021'!Q49</f>
        <v>2500.87</v>
      </c>
      <c r="D11" s="267"/>
    </row>
    <row r="12" spans="2:4" ht="15">
      <c r="B12" s="40" t="s">
        <v>342</v>
      </c>
      <c r="C12" s="266">
        <f>'Свод 2021'!R49</f>
        <v>7912.040000000001</v>
      </c>
      <c r="D12" s="267"/>
    </row>
    <row r="13" spans="2:4" ht="15">
      <c r="B13" s="40" t="s">
        <v>343</v>
      </c>
      <c r="C13" s="266">
        <f>'Свод 2021'!S49</f>
        <v>10431.99</v>
      </c>
      <c r="D13" s="267"/>
    </row>
    <row r="14" spans="2:6" ht="28.5">
      <c r="B14" s="41" t="s">
        <v>151</v>
      </c>
      <c r="C14" s="279">
        <f>C11+C12-C13</f>
        <v>-19.079999999999927</v>
      </c>
      <c r="D14" s="280"/>
      <c r="E14" s="22">
        <f>'Свод 2021'!T49</f>
        <v>-19.079999999999927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2021'!W49</f>
        <v>198557.89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2021'!U49</f>
        <v>2274.8</v>
      </c>
    </row>
    <row r="22" spans="2:4" ht="15">
      <c r="B22" s="46" t="s">
        <v>134</v>
      </c>
      <c r="C22" s="47" t="s">
        <v>60</v>
      </c>
      <c r="D22" s="48">
        <f>'Свод 2021'!V49</f>
        <v>63636.64</v>
      </c>
    </row>
    <row r="23" spans="2:4" ht="30">
      <c r="B23" s="46" t="s">
        <v>161</v>
      </c>
      <c r="C23" s="94" t="s">
        <v>138</v>
      </c>
      <c r="D23" s="48">
        <f>'Свод 2021'!AA49+'Свод 2021'!Z49</f>
        <v>30872.33</v>
      </c>
    </row>
    <row r="24" spans="2:4" ht="28.5" customHeight="1">
      <c r="B24" s="124" t="s">
        <v>141</v>
      </c>
      <c r="C24" s="49" t="s">
        <v>140</v>
      </c>
      <c r="D24" s="207">
        <f>'Свод 2021'!AC49</f>
        <v>2524.3</v>
      </c>
    </row>
    <row r="25" spans="2:4" ht="28.5" customHeight="1">
      <c r="B25" s="154" t="s">
        <v>142</v>
      </c>
      <c r="C25" s="98" t="s">
        <v>143</v>
      </c>
      <c r="D25" s="213">
        <f>'Свод 2021'!AB49</f>
        <v>1299.89</v>
      </c>
    </row>
    <row r="26" spans="2:4" ht="21.75" customHeight="1">
      <c r="B26" s="200" t="s">
        <v>153</v>
      </c>
      <c r="C26" s="47" t="s">
        <v>59</v>
      </c>
      <c r="D26" s="201">
        <f>'Свод 2021'!AD49</f>
        <v>28597.54</v>
      </c>
    </row>
    <row r="27" spans="2:4" ht="30.75" customHeight="1">
      <c r="B27" s="105" t="s">
        <v>144</v>
      </c>
      <c r="C27" s="164" t="s">
        <v>135</v>
      </c>
      <c r="D27" s="288">
        <f>'Свод 2021'!AE49</f>
        <v>105290.93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2021'!AG49</f>
        <v>46795.97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2021'!AI49</f>
        <v>101066.29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2021'!AK49</f>
        <v>30872.34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2021'!AL49</f>
        <v>27297.65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2021'!AM49</f>
        <v>47445.91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2021'!AJ49</f>
        <v>52970.44</v>
      </c>
      <c r="E42" s="22">
        <f>D43-C8-C13</f>
        <v>60079.45000000018</v>
      </c>
    </row>
    <row r="43" spans="2:4" ht="15" thickBot="1">
      <c r="B43" s="227" t="s">
        <v>252</v>
      </c>
      <c r="C43" s="228"/>
      <c r="D43" s="229">
        <f>SUM(D19:D42)</f>
        <v>739502.9200000002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21" header="0.17" footer="0.17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388</v>
      </c>
      <c r="C3" s="269"/>
      <c r="D3" s="269"/>
    </row>
    <row r="4" spans="2:5" ht="15.75" thickBot="1">
      <c r="B4" s="57" t="s">
        <v>263</v>
      </c>
      <c r="C4" s="224">
        <f>'Свод 2021'!H50</f>
        <v>2705</v>
      </c>
      <c r="D4" s="215">
        <f>'Свод 2021'!J50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2021'!H50</f>
        <v>2705</v>
      </c>
      <c r="F5" s="22">
        <f>'Свод 2021'!J50</f>
        <v>20.88</v>
      </c>
    </row>
    <row r="6" spans="2:4" ht="30">
      <c r="B6" s="178" t="s">
        <v>338</v>
      </c>
      <c r="C6" s="277">
        <f>'Свод 2021'!K50</f>
        <v>236678.56999999983</v>
      </c>
      <c r="D6" s="278"/>
    </row>
    <row r="7" spans="2:4" ht="15">
      <c r="B7" s="40" t="s">
        <v>339</v>
      </c>
      <c r="C7" s="266">
        <f>'Свод 2021'!L50</f>
        <v>677764.44</v>
      </c>
      <c r="D7" s="267"/>
    </row>
    <row r="8" spans="2:4" ht="15">
      <c r="B8" s="40" t="s">
        <v>340</v>
      </c>
      <c r="C8" s="266">
        <f>'Свод 2021'!M50</f>
        <v>647519.39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266923.61999999976</v>
      </c>
      <c r="D10" s="280"/>
      <c r="E10" s="22">
        <f>'Свод 2021'!O50</f>
        <v>266923.61999999976</v>
      </c>
      <c r="F10" s="125"/>
    </row>
    <row r="11" spans="2:4" ht="30">
      <c r="B11" s="178" t="s">
        <v>323</v>
      </c>
      <c r="C11" s="266">
        <f>'Свод 2021'!Q50</f>
        <v>1553.48</v>
      </c>
      <c r="D11" s="267"/>
    </row>
    <row r="12" spans="2:4" ht="15">
      <c r="B12" s="40" t="s">
        <v>342</v>
      </c>
      <c r="C12" s="266">
        <f>'Свод 2021'!R50</f>
        <v>4660.43</v>
      </c>
      <c r="D12" s="267"/>
    </row>
    <row r="13" spans="2:4" ht="15">
      <c r="B13" s="40" t="s">
        <v>343</v>
      </c>
      <c r="C13" s="266">
        <f>'Свод 2021'!S50</f>
        <v>5825.61</v>
      </c>
      <c r="D13" s="267"/>
    </row>
    <row r="14" spans="2:6" ht="28.5">
      <c r="B14" s="41" t="s">
        <v>151</v>
      </c>
      <c r="C14" s="279">
        <f>C11+C12-C13</f>
        <v>388.3000000000002</v>
      </c>
      <c r="D14" s="280"/>
      <c r="E14" s="22">
        <f>'Свод 2021'!T50</f>
        <v>388.3000000000002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2021'!W50</f>
        <v>198330.6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2021'!U50</f>
        <v>2272.2</v>
      </c>
    </row>
    <row r="22" spans="2:4" ht="15">
      <c r="B22" s="46" t="s">
        <v>134</v>
      </c>
      <c r="C22" s="47" t="s">
        <v>60</v>
      </c>
      <c r="D22" s="48">
        <f>'Свод 2021'!V50</f>
        <v>51081.630000000005</v>
      </c>
    </row>
    <row r="23" spans="2:4" ht="30">
      <c r="B23" s="46" t="s">
        <v>161</v>
      </c>
      <c r="C23" s="94" t="s">
        <v>138</v>
      </c>
      <c r="D23" s="48">
        <f>'Свод 2021'!AA50+'Свод 2021'!Z50</f>
        <v>30837</v>
      </c>
    </row>
    <row r="24" spans="2:4" ht="28.5" customHeight="1">
      <c r="B24" s="124" t="s">
        <v>141</v>
      </c>
      <c r="C24" s="49" t="s">
        <v>140</v>
      </c>
      <c r="D24" s="207">
        <f>'Свод 2021'!AC50</f>
        <v>3362.8999999999996</v>
      </c>
    </row>
    <row r="25" spans="2:4" ht="28.5" customHeight="1">
      <c r="B25" s="154" t="s">
        <v>142</v>
      </c>
      <c r="C25" s="98" t="s">
        <v>143</v>
      </c>
      <c r="D25" s="213">
        <f>'Свод 2021'!AB50</f>
        <v>1298.4</v>
      </c>
    </row>
    <row r="26" spans="2:4" ht="21.75" customHeight="1">
      <c r="B26" s="200" t="s">
        <v>153</v>
      </c>
      <c r="C26" s="47" t="s">
        <v>59</v>
      </c>
      <c r="D26" s="201">
        <f>'Свод 2021'!AD50</f>
        <v>28564.8</v>
      </c>
    </row>
    <row r="27" spans="2:4" ht="30.75" customHeight="1">
      <c r="B27" s="105" t="s">
        <v>144</v>
      </c>
      <c r="C27" s="164" t="s">
        <v>135</v>
      </c>
      <c r="D27" s="288">
        <f>'Свод 2021'!AE50</f>
        <v>105170.4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2021'!AG50</f>
        <v>46742.4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2021'!AI50</f>
        <v>100950.6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2021'!AK50</f>
        <v>30837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2021'!AL50</f>
        <v>27266.4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2021'!AM50</f>
        <v>47391.6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2021'!AJ50</f>
        <v>52909.8</v>
      </c>
      <c r="E42" s="22">
        <f>D43-C8-C13</f>
        <v>73670.73000000008</v>
      </c>
    </row>
    <row r="43" spans="2:4" ht="15" thickBot="1">
      <c r="B43" s="227" t="s">
        <v>252</v>
      </c>
      <c r="C43" s="228"/>
      <c r="D43" s="229">
        <f>SUM(D19:D42)</f>
        <v>727015.7300000001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385</v>
      </c>
      <c r="C3" s="269"/>
      <c r="D3" s="269"/>
    </row>
    <row r="4" spans="2:5" ht="15.75" thickBot="1">
      <c r="B4" s="57" t="s">
        <v>264</v>
      </c>
      <c r="C4" s="224">
        <f>'Свод 2021'!H51</f>
        <v>2706.7</v>
      </c>
      <c r="D4" s="215">
        <f>'Свод 2021'!J51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2021'!H51</f>
        <v>2706.7</v>
      </c>
      <c r="F5" s="22">
        <f>'Свод 2021'!J51</f>
        <v>20.88</v>
      </c>
    </row>
    <row r="6" spans="2:4" ht="30">
      <c r="B6" s="178" t="s">
        <v>338</v>
      </c>
      <c r="C6" s="277">
        <f>'Свод 2021'!K51</f>
        <v>110710.37</v>
      </c>
      <c r="D6" s="278"/>
    </row>
    <row r="7" spans="2:4" ht="15">
      <c r="B7" s="40" t="s">
        <v>339</v>
      </c>
      <c r="C7" s="266">
        <f>'Свод 2021'!L51</f>
        <v>662856.72</v>
      </c>
      <c r="D7" s="267"/>
    </row>
    <row r="8" spans="2:4" ht="15">
      <c r="B8" s="40" t="s">
        <v>340</v>
      </c>
      <c r="C8" s="266">
        <f>'Свод 2021'!M51</f>
        <v>633207.6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140359.49</v>
      </c>
      <c r="D10" s="280"/>
      <c r="E10" s="22">
        <f>'Свод 2021'!O51</f>
        <v>140359.49</v>
      </c>
      <c r="F10" s="125"/>
    </row>
    <row r="11" spans="2:4" ht="30">
      <c r="B11" s="178" t="s">
        <v>323</v>
      </c>
      <c r="C11" s="266">
        <f>'Свод 2021'!Q51</f>
        <v>1553.48</v>
      </c>
      <c r="D11" s="267"/>
    </row>
    <row r="12" spans="2:4" ht="15">
      <c r="B12" s="40" t="s">
        <v>342</v>
      </c>
      <c r="C12" s="266">
        <f>'Свод 2021'!R51</f>
        <v>4660.43</v>
      </c>
      <c r="D12" s="267"/>
    </row>
    <row r="13" spans="2:4" ht="15">
      <c r="B13" s="40" t="s">
        <v>343</v>
      </c>
      <c r="C13" s="266">
        <f>'Свод 2021'!S51</f>
        <v>5825.54</v>
      </c>
      <c r="D13" s="267"/>
    </row>
    <row r="14" spans="2:6" ht="28.5">
      <c r="B14" s="41" t="s">
        <v>151</v>
      </c>
      <c r="C14" s="279">
        <f>C11+C12-C13</f>
        <v>388.3699999999999</v>
      </c>
      <c r="D14" s="280"/>
      <c r="E14" s="22">
        <f>'Свод 2021'!T51</f>
        <v>388.3699999999999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2021'!W51</f>
        <v>198455.24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2021'!U51</f>
        <v>2273.63</v>
      </c>
    </row>
    <row r="22" spans="2:4" ht="15">
      <c r="B22" s="46" t="s">
        <v>134</v>
      </c>
      <c r="C22" s="47" t="s">
        <v>60</v>
      </c>
      <c r="D22" s="48">
        <f>'Свод 2021'!V51</f>
        <v>48368.28999999999</v>
      </c>
    </row>
    <row r="23" spans="2:4" ht="30">
      <c r="B23" s="46" t="s">
        <v>161</v>
      </c>
      <c r="C23" s="94" t="s">
        <v>138</v>
      </c>
      <c r="D23" s="48">
        <f>'Свод 2021'!AA51+'Свод 2021'!Z51</f>
        <v>30856.38</v>
      </c>
    </row>
    <row r="24" spans="2:4" ht="28.5" customHeight="1">
      <c r="B24" s="124" t="s">
        <v>141</v>
      </c>
      <c r="C24" s="49" t="s">
        <v>140</v>
      </c>
      <c r="D24" s="207">
        <f>'Свод 2021'!AC51</f>
        <v>4140.93</v>
      </c>
    </row>
    <row r="25" spans="2:4" ht="28.5" customHeight="1">
      <c r="B25" s="154" t="s">
        <v>142</v>
      </c>
      <c r="C25" s="98" t="s">
        <v>143</v>
      </c>
      <c r="D25" s="213">
        <f>'Свод 2021'!AB51</f>
        <v>1299.22</v>
      </c>
    </row>
    <row r="26" spans="2:4" ht="21.75" customHeight="1">
      <c r="B26" s="200" t="s">
        <v>153</v>
      </c>
      <c r="C26" s="47" t="s">
        <v>59</v>
      </c>
      <c r="D26" s="201">
        <f>'Свод 2021'!AD51</f>
        <v>28582.75</v>
      </c>
    </row>
    <row r="27" spans="2:4" ht="30.75" customHeight="1">
      <c r="B27" s="105" t="s">
        <v>144</v>
      </c>
      <c r="C27" s="164" t="s">
        <v>135</v>
      </c>
      <c r="D27" s="288">
        <f>'Свод 2021'!AE51</f>
        <v>105236.5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2021'!AG51</f>
        <v>46771.78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2021'!AI51</f>
        <v>101254.04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2021'!AK51</f>
        <v>30856.38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2021'!AL51</f>
        <v>27283.54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2021'!AM51</f>
        <v>47421.38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2021'!AJ51</f>
        <v>52943.05</v>
      </c>
      <c r="E42" s="22">
        <f>D43-C8-C13</f>
        <v>86709.97000000013</v>
      </c>
    </row>
    <row r="43" spans="2:4" ht="15" thickBot="1">
      <c r="B43" s="227" t="s">
        <v>252</v>
      </c>
      <c r="C43" s="228"/>
      <c r="D43" s="229">
        <f>SUM(D19:D42)</f>
        <v>725743.1100000001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24" right="0.24" top="0.17" bottom="0.27" header="0.1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22">
      <selection activeCell="G6" sqref="G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347</v>
      </c>
      <c r="C3" s="269"/>
      <c r="D3" s="269"/>
    </row>
    <row r="4" spans="2:5" ht="15.75" thickBot="1">
      <c r="B4" s="57" t="s">
        <v>209</v>
      </c>
      <c r="C4" s="224">
        <f>'Свод 2021'!H7</f>
        <v>2697.1</v>
      </c>
      <c r="D4" s="215">
        <f>'Свод 2021'!J7</f>
        <v>20.88</v>
      </c>
      <c r="E4" s="22">
        <f>'Свод 2021'!H7</f>
        <v>2697.1</v>
      </c>
    </row>
    <row r="5" spans="2:4" ht="31.5" customHeight="1" thickBot="1">
      <c r="B5" s="36" t="s">
        <v>54</v>
      </c>
      <c r="C5" s="275" t="s">
        <v>150</v>
      </c>
      <c r="D5" s="276"/>
    </row>
    <row r="6" spans="2:4" ht="30">
      <c r="B6" s="178" t="s">
        <v>338</v>
      </c>
      <c r="C6" s="277">
        <v>196720.84</v>
      </c>
      <c r="D6" s="278"/>
    </row>
    <row r="7" spans="2:4" ht="15">
      <c r="B7" s="40" t="s">
        <v>339</v>
      </c>
      <c r="C7" s="266">
        <f>'Свод 2021'!L7</f>
        <v>675784.92</v>
      </c>
      <c r="D7" s="267"/>
    </row>
    <row r="8" spans="2:4" ht="15">
      <c r="B8" s="40" t="s">
        <v>340</v>
      </c>
      <c r="C8" s="266">
        <f>'Свод 2021'!M7</f>
        <v>694719.84</v>
      </c>
      <c r="D8" s="267"/>
    </row>
    <row r="9" spans="2:4" ht="15">
      <c r="B9" s="40" t="s">
        <v>127</v>
      </c>
      <c r="C9" s="266" t="str">
        <f>'Свод 2021'!N4</f>
        <v>-0,01</v>
      </c>
      <c r="D9" s="267"/>
    </row>
    <row r="10" spans="2:6" ht="28.5">
      <c r="B10" s="41" t="s">
        <v>147</v>
      </c>
      <c r="C10" s="279">
        <v>177785.92</v>
      </c>
      <c r="D10" s="280"/>
      <c r="E10" s="22">
        <f>'Свод 2021'!O7</f>
        <v>177785.92000000016</v>
      </c>
      <c r="F10" s="125"/>
    </row>
    <row r="11" spans="2:4" ht="30">
      <c r="B11" s="178" t="s">
        <v>323</v>
      </c>
      <c r="C11" s="266">
        <f>'Свод 2021'!Q7</f>
        <v>2501.87</v>
      </c>
      <c r="D11" s="267"/>
    </row>
    <row r="12" spans="2:4" ht="15">
      <c r="B12" s="40" t="s">
        <v>342</v>
      </c>
      <c r="C12" s="266">
        <f>'Свод 2021'!R7</f>
        <v>26505.84</v>
      </c>
      <c r="D12" s="267"/>
    </row>
    <row r="13" spans="2:4" ht="15">
      <c r="B13" s="40" t="s">
        <v>343</v>
      </c>
      <c r="C13" s="266">
        <f>'Свод 2021'!S7</f>
        <v>28421.170000000002</v>
      </c>
      <c r="D13" s="267"/>
    </row>
    <row r="14" spans="2:6" ht="28.5">
      <c r="B14" s="41" t="s">
        <v>151</v>
      </c>
      <c r="C14" s="279">
        <f>C11+C12-C13</f>
        <v>586.5399999999972</v>
      </c>
      <c r="D14" s="280"/>
      <c r="E14" s="22">
        <f>'Свод 2021'!T7</f>
        <v>586.5399999999972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</f>
        <v>197751.37</v>
      </c>
    </row>
    <row r="20" spans="2:5" ht="15.75" thickBot="1">
      <c r="B20" s="158" t="s">
        <v>152</v>
      </c>
      <c r="C20" s="97" t="s">
        <v>143</v>
      </c>
      <c r="D20" s="289"/>
      <c r="E20" t="s">
        <v>176</v>
      </c>
    </row>
    <row r="21" spans="2:4" ht="30">
      <c r="B21" s="105" t="s">
        <v>160</v>
      </c>
      <c r="C21" s="106" t="s">
        <v>157</v>
      </c>
      <c r="D21" s="170">
        <f>'Свод 2021'!U7</f>
        <v>2265.56</v>
      </c>
    </row>
    <row r="22" spans="2:4" ht="15">
      <c r="B22" s="46" t="s">
        <v>134</v>
      </c>
      <c r="C22" s="47" t="s">
        <v>170</v>
      </c>
      <c r="D22" s="48">
        <f>'Свод 2021'!V7</f>
        <v>41714.31999999999</v>
      </c>
    </row>
    <row r="23" spans="2:4" ht="30">
      <c r="B23" s="46" t="s">
        <v>161</v>
      </c>
      <c r="C23" s="94" t="s">
        <v>138</v>
      </c>
      <c r="D23" s="48">
        <f>'Свод 2021'!AA7+'Свод 2021'!Z7</f>
        <v>30746.93</v>
      </c>
    </row>
    <row r="24" spans="2:4" ht="28.5" customHeight="1">
      <c r="B24" s="124" t="s">
        <v>141</v>
      </c>
      <c r="C24" s="49" t="s">
        <v>140</v>
      </c>
      <c r="D24" s="207">
        <f>'Свод 2021'!AC7</f>
        <v>1935.2800000000002</v>
      </c>
    </row>
    <row r="25" spans="2:4" ht="28.5" customHeight="1">
      <c r="B25" s="154" t="s">
        <v>142</v>
      </c>
      <c r="C25" s="98" t="s">
        <v>143</v>
      </c>
      <c r="D25" s="207">
        <f>'Свод 2021'!AB7</f>
        <v>1294.61</v>
      </c>
    </row>
    <row r="26" spans="2:4" ht="21.75" customHeight="1">
      <c r="B26" s="200" t="s">
        <v>153</v>
      </c>
      <c r="C26" s="47" t="s">
        <v>169</v>
      </c>
      <c r="D26" s="201">
        <f>'Свод 2021'!AD7</f>
        <v>56902.55</v>
      </c>
    </row>
    <row r="27" spans="2:4" ht="30.75" customHeight="1">
      <c r="B27" s="105" t="s">
        <v>144</v>
      </c>
      <c r="C27" s="164" t="s">
        <v>135</v>
      </c>
      <c r="D27" s="288">
        <f>'Свод 2021'!AE7</f>
        <v>104863.25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2021'!AG7</f>
        <v>46605.89</v>
      </c>
    </row>
    <row r="32" spans="2:4" ht="30">
      <c r="B32" s="148" t="s">
        <v>133</v>
      </c>
      <c r="C32" s="53"/>
      <c r="D32" s="54"/>
    </row>
    <row r="33" spans="2:4" ht="59.25">
      <c r="B33" s="124" t="s">
        <v>177</v>
      </c>
      <c r="C33" s="94" t="s">
        <v>175</v>
      </c>
      <c r="D33" s="89">
        <f>'Свод 2021'!AI7</f>
        <v>100655.77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2021'!AK7</f>
        <v>45746.94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2021'!AL7</f>
        <v>32186.77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2021'!AM7</f>
        <v>47253.19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2021'!AJ7</f>
        <v>52755.28</v>
      </c>
      <c r="E42" s="22">
        <f>D43-C8-C13</f>
        <v>39536.7</v>
      </c>
    </row>
    <row r="43" spans="2:5" ht="15" thickBot="1">
      <c r="B43" s="227" t="s">
        <v>252</v>
      </c>
      <c r="C43" s="228"/>
      <c r="D43" s="229">
        <f>SUM(D19:D42)</f>
        <v>762677.71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375</v>
      </c>
      <c r="C3" s="269"/>
      <c r="D3" s="269"/>
    </row>
    <row r="4" spans="2:5" ht="15.75" thickBot="1">
      <c r="B4" s="57" t="s">
        <v>265</v>
      </c>
      <c r="C4" s="224">
        <f>'Свод 2021'!H52</f>
        <v>4403.7</v>
      </c>
      <c r="D4" s="215">
        <f>'Свод 2021'!J52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2021'!H52</f>
        <v>4403.7</v>
      </c>
      <c r="F5" s="22">
        <f>'Свод 2021'!J51</f>
        <v>20.88</v>
      </c>
    </row>
    <row r="6" spans="2:4" ht="30">
      <c r="B6" s="178" t="s">
        <v>338</v>
      </c>
      <c r="C6" s="277">
        <f>'Свод 2021'!K52</f>
        <v>231167.1000000001</v>
      </c>
      <c r="D6" s="278"/>
    </row>
    <row r="7" spans="2:4" ht="15">
      <c r="B7" s="40" t="s">
        <v>339</v>
      </c>
      <c r="C7" s="266">
        <f>'Свод 2021'!L52</f>
        <v>1075497.93</v>
      </c>
      <c r="D7" s="267"/>
    </row>
    <row r="8" spans="2:4" ht="15">
      <c r="B8" s="40" t="s">
        <v>340</v>
      </c>
      <c r="C8" s="266">
        <f>'Свод 2021'!M52</f>
        <v>1073130.45</v>
      </c>
      <c r="D8" s="267"/>
    </row>
    <row r="9" spans="2:4" ht="15">
      <c r="B9" s="40" t="s">
        <v>127</v>
      </c>
      <c r="C9" s="266">
        <f>'Свод 2021'!N43</f>
        <v>0</v>
      </c>
      <c r="D9" s="267"/>
    </row>
    <row r="10" spans="2:6" ht="28.5">
      <c r="B10" s="41" t="s">
        <v>147</v>
      </c>
      <c r="C10" s="279">
        <f>C6+C7-C8+C9</f>
        <v>233534.58000000007</v>
      </c>
      <c r="D10" s="280"/>
      <c r="E10" s="22">
        <f>'Свод 2021'!O52</f>
        <v>233534.58000000007</v>
      </c>
      <c r="F10" s="125"/>
    </row>
    <row r="11" spans="2:4" ht="30">
      <c r="B11" s="178" t="s">
        <v>323</v>
      </c>
      <c r="C11" s="266">
        <f>'Свод 2021'!Q52</f>
        <v>2219.48</v>
      </c>
      <c r="D11" s="267"/>
    </row>
    <row r="12" spans="2:4" ht="15">
      <c r="B12" s="40" t="s">
        <v>342</v>
      </c>
      <c r="C12" s="266">
        <f>'Свод 2021'!R52</f>
        <v>50649.58</v>
      </c>
      <c r="D12" s="267"/>
    </row>
    <row r="13" spans="2:4" ht="15">
      <c r="B13" s="40" t="s">
        <v>343</v>
      </c>
      <c r="C13" s="266">
        <f>'Свод 2021'!S52</f>
        <v>57224.81</v>
      </c>
      <c r="D13" s="267"/>
    </row>
    <row r="14" spans="2:6" ht="28.5">
      <c r="B14" s="41" t="s">
        <v>151</v>
      </c>
      <c r="C14" s="279">
        <f>C11+C12-C13</f>
        <v>-4355.749999999993</v>
      </c>
      <c r="D14" s="280"/>
      <c r="E14" s="22">
        <f>'Свод 2021'!T52</f>
        <v>-4355.749999999993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2021'!W52</f>
        <v>322879.28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2021'!U52</f>
        <v>3699.11</v>
      </c>
    </row>
    <row r="22" spans="2:4" ht="15">
      <c r="B22" s="46" t="s">
        <v>134</v>
      </c>
      <c r="C22" s="47" t="s">
        <v>60</v>
      </c>
      <c r="D22" s="48">
        <f>'Свод 2021'!V52</f>
        <v>48124.119999999995</v>
      </c>
    </row>
    <row r="23" spans="2:4" ht="30">
      <c r="B23" s="46" t="s">
        <v>161</v>
      </c>
      <c r="C23" s="94" t="s">
        <v>138</v>
      </c>
      <c r="D23" s="48">
        <f>'Свод 2021'!AA52+'Свод 2021'!Z52</f>
        <v>50202.18</v>
      </c>
    </row>
    <row r="24" spans="2:4" ht="28.5" customHeight="1">
      <c r="B24" s="124" t="s">
        <v>141</v>
      </c>
      <c r="C24" s="49" t="s">
        <v>140</v>
      </c>
      <c r="D24" s="207">
        <f>'Свод 2021'!AC52</f>
        <v>3899.0499999999997</v>
      </c>
    </row>
    <row r="25" spans="2:4" ht="28.5" customHeight="1">
      <c r="B25" s="154" t="s">
        <v>142</v>
      </c>
      <c r="C25" s="98" t="s">
        <v>143</v>
      </c>
      <c r="D25" s="213">
        <f>'Свод 2021'!AB52</f>
        <v>2113.78</v>
      </c>
    </row>
    <row r="26" spans="2:4" ht="21.75" customHeight="1">
      <c r="B26" s="200" t="s">
        <v>153</v>
      </c>
      <c r="C26" s="47" t="s">
        <v>59</v>
      </c>
      <c r="D26" s="201">
        <f>'Свод 2021'!AD52</f>
        <v>46503.07</v>
      </c>
    </row>
    <row r="27" spans="2:4" ht="30.75" customHeight="1">
      <c r="B27" s="105" t="s">
        <v>144</v>
      </c>
      <c r="C27" s="164" t="s">
        <v>135</v>
      </c>
      <c r="D27" s="288">
        <f>'Свод 2021'!AE52</f>
        <v>171215.86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2021'!AG52</f>
        <v>76095.94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2021'!AI52</f>
        <v>164466.08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2021'!AK52</f>
        <v>50202.18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2021'!AL52</f>
        <v>44389.3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2021'!AM52</f>
        <v>77152.82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2021'!AJ52</f>
        <v>86136.37</v>
      </c>
      <c r="E42" s="22">
        <f>D43-C8-C13</f>
        <v>16723.88000000018</v>
      </c>
    </row>
    <row r="43" spans="2:4" ht="15" thickBot="1">
      <c r="B43" s="227" t="s">
        <v>252</v>
      </c>
      <c r="C43" s="228"/>
      <c r="D43" s="229">
        <f>SUM(D19:D42)</f>
        <v>1147079.1400000001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389</v>
      </c>
      <c r="C3" s="269"/>
      <c r="D3" s="269"/>
    </row>
    <row r="4" spans="2:5" ht="15.75" thickBot="1">
      <c r="B4" s="57" t="s">
        <v>266</v>
      </c>
      <c r="C4" s="224">
        <f>'Свод 2021'!H53</f>
        <v>4379.5</v>
      </c>
      <c r="D4" s="215">
        <f>'Свод 2021'!J53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2021'!H53</f>
        <v>4379.5</v>
      </c>
      <c r="F5" s="22">
        <f>'Свод 2021'!J53</f>
        <v>21.73</v>
      </c>
    </row>
    <row r="6" spans="2:4" ht="30">
      <c r="B6" s="178" t="s">
        <v>338</v>
      </c>
      <c r="C6" s="277">
        <f>'Свод 2021'!K53</f>
        <v>293645.46999999974</v>
      </c>
      <c r="D6" s="278"/>
    </row>
    <row r="7" spans="2:4" ht="15">
      <c r="B7" s="40" t="s">
        <v>339</v>
      </c>
      <c r="C7" s="266">
        <f>'Свод 2021'!L53</f>
        <v>1142260.44</v>
      </c>
      <c r="D7" s="267"/>
    </row>
    <row r="8" spans="2:4" ht="15">
      <c r="B8" s="40" t="s">
        <v>340</v>
      </c>
      <c r="C8" s="266">
        <f>'Свод 2021'!M53</f>
        <v>1079461.21</v>
      </c>
      <c r="D8" s="267"/>
    </row>
    <row r="9" spans="2:4" ht="15">
      <c r="B9" s="40" t="s">
        <v>127</v>
      </c>
      <c r="C9" s="266">
        <f>'Свод 2021'!N53</f>
        <v>0</v>
      </c>
      <c r="D9" s="267"/>
    </row>
    <row r="10" spans="2:6" ht="28.5">
      <c r="B10" s="41" t="s">
        <v>147</v>
      </c>
      <c r="C10" s="279">
        <f>C6+C7-C8+C9</f>
        <v>356444.6999999997</v>
      </c>
      <c r="D10" s="280"/>
      <c r="E10" s="22">
        <f>'Свод 2021'!O53</f>
        <v>356444.6999999997</v>
      </c>
      <c r="F10" s="125"/>
    </row>
    <row r="11" spans="2:4" ht="30">
      <c r="B11" s="178" t="s">
        <v>323</v>
      </c>
      <c r="C11" s="266">
        <f>'Свод 2021'!Q53</f>
        <v>948.36</v>
      </c>
      <c r="D11" s="267"/>
    </row>
    <row r="12" spans="2:4" ht="15">
      <c r="B12" s="40" t="s">
        <v>342</v>
      </c>
      <c r="C12" s="266">
        <f>'Свод 2021'!R53</f>
        <v>38674.41</v>
      </c>
      <c r="D12" s="267"/>
    </row>
    <row r="13" spans="2:4" ht="15">
      <c r="B13" s="40" t="s">
        <v>343</v>
      </c>
      <c r="C13" s="266">
        <f>'Свод 2021'!S53</f>
        <v>26413.05</v>
      </c>
      <c r="D13" s="267"/>
    </row>
    <row r="14" spans="2:6" ht="28.5">
      <c r="B14" s="41" t="s">
        <v>151</v>
      </c>
      <c r="C14" s="279">
        <f>C11+C12-C13</f>
        <v>13209.720000000005</v>
      </c>
      <c r="D14" s="280"/>
      <c r="E14" s="22">
        <f>'Свод 2021'!T53</f>
        <v>13209.720000000005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2021'!W53</f>
        <v>321104.94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2021'!U53</f>
        <v>3678.78</v>
      </c>
    </row>
    <row r="22" spans="2:4" ht="15">
      <c r="B22" s="46" t="s">
        <v>134</v>
      </c>
      <c r="C22" s="47" t="s">
        <v>60</v>
      </c>
      <c r="D22" s="48">
        <f>'Свод 2021'!V53</f>
        <v>51863.55</v>
      </c>
    </row>
    <row r="23" spans="2:4" ht="30">
      <c r="B23" s="46" t="s">
        <v>161</v>
      </c>
      <c r="C23" s="94" t="s">
        <v>138</v>
      </c>
      <c r="D23" s="48">
        <f>'Свод 2021'!AA53+'Свод 2021'!Z53</f>
        <v>49926.3</v>
      </c>
    </row>
    <row r="24" spans="2:4" ht="28.5" customHeight="1">
      <c r="B24" s="124" t="s">
        <v>141</v>
      </c>
      <c r="C24" s="49" t="s">
        <v>140</v>
      </c>
      <c r="D24" s="207">
        <f>'Свод 2021'!AC53</f>
        <v>3105.42</v>
      </c>
    </row>
    <row r="25" spans="2:4" ht="28.5" customHeight="1">
      <c r="B25" s="154" t="s">
        <v>142</v>
      </c>
      <c r="C25" s="98" t="s">
        <v>143</v>
      </c>
      <c r="D25" s="213">
        <f>'Свод 2021'!AB53</f>
        <v>2102.16</v>
      </c>
    </row>
    <row r="26" spans="2:4" ht="21.75" customHeight="1">
      <c r="B26" s="200" t="s">
        <v>153</v>
      </c>
      <c r="C26" s="47" t="s">
        <v>59</v>
      </c>
      <c r="D26" s="201">
        <f>'Свод 2021'!AD53</f>
        <v>46247.52</v>
      </c>
    </row>
    <row r="27" spans="2:4" ht="30.75" customHeight="1">
      <c r="B27" s="105" t="s">
        <v>144</v>
      </c>
      <c r="C27" s="164" t="s">
        <v>135</v>
      </c>
      <c r="D27" s="288">
        <f>'Свод 2021'!AE53</f>
        <v>170274.96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2021'!AG53</f>
        <v>75677.76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2021'!AI53</f>
        <v>163442.94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2021'!AK53</f>
        <v>94071.66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2021'!AL53</f>
        <v>44670.9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2021'!AM53</f>
        <v>76728.84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2021'!AJ53</f>
        <v>85663.02</v>
      </c>
      <c r="E42" s="22">
        <f>D43-C8-C13</f>
        <v>82684.49000000027</v>
      </c>
    </row>
    <row r="43" spans="2:4" ht="15" thickBot="1">
      <c r="B43" s="227" t="s">
        <v>252</v>
      </c>
      <c r="C43" s="228"/>
      <c r="D43" s="229">
        <f>SUM(D19:D42)</f>
        <v>1188558.7500000002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24" right="0.24" top="0.17" bottom="0.24" header="0.17" footer="0.17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390</v>
      </c>
      <c r="C3" s="269"/>
      <c r="D3" s="269"/>
    </row>
    <row r="4" spans="2:5" ht="15.75" thickBot="1">
      <c r="B4" s="57" t="s">
        <v>267</v>
      </c>
      <c r="C4" s="224">
        <f>'Свод 2021'!H54</f>
        <v>1328.3</v>
      </c>
      <c r="D4" s="215">
        <f>'Свод 2021'!J54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2021'!H54</f>
        <v>1328.3</v>
      </c>
      <c r="F5" s="22">
        <f>'Свод 2021'!J54</f>
        <v>20.88</v>
      </c>
    </row>
    <row r="6" spans="2:4" ht="30">
      <c r="B6" s="178" t="s">
        <v>338</v>
      </c>
      <c r="C6" s="277">
        <f>'Свод 2021'!K54</f>
        <v>48951.600000000035</v>
      </c>
      <c r="D6" s="278"/>
    </row>
    <row r="7" spans="2:4" ht="15">
      <c r="B7" s="40" t="s">
        <v>339</v>
      </c>
      <c r="C7" s="266">
        <f>'Свод 2021'!L54</f>
        <v>251286.72</v>
      </c>
      <c r="D7" s="267"/>
    </row>
    <row r="8" spans="2:4" ht="15">
      <c r="B8" s="40" t="s">
        <v>340</v>
      </c>
      <c r="C8" s="266">
        <f>'Свод 2021'!M54</f>
        <v>274274.03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25964.290000000037</v>
      </c>
      <c r="D10" s="280"/>
      <c r="E10" s="22">
        <f>'Свод 2021'!O54</f>
        <v>25964.290000000037</v>
      </c>
      <c r="F10" s="125"/>
    </row>
    <row r="11" spans="2:4" ht="30">
      <c r="B11" s="178" t="s">
        <v>323</v>
      </c>
      <c r="C11" s="266">
        <f>'Свод 2021'!Q54</f>
        <v>17223.02</v>
      </c>
      <c r="D11" s="267"/>
    </row>
    <row r="12" spans="2:4" ht="15">
      <c r="B12" s="40" t="s">
        <v>342</v>
      </c>
      <c r="C12" s="266">
        <f>'Свод 2021'!R54</f>
        <v>67576.75</v>
      </c>
      <c r="D12" s="267"/>
    </row>
    <row r="13" spans="2:4" ht="15">
      <c r="B13" s="40" t="s">
        <v>343</v>
      </c>
      <c r="C13" s="266">
        <f>'Свод 2021'!S54</f>
        <v>50108.64</v>
      </c>
      <c r="D13" s="267"/>
    </row>
    <row r="14" spans="2:6" ht="28.5">
      <c r="B14" s="41" t="s">
        <v>151</v>
      </c>
      <c r="C14" s="279">
        <f>C11+C12-C13</f>
        <v>34691.130000000005</v>
      </c>
      <c r="D14" s="280"/>
      <c r="E14" s="22">
        <f>'Свод 2021'!T54</f>
        <v>34691.130000000005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2021'!W54</f>
        <v>97390.96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2021'!U54</f>
        <v>1115.77</v>
      </c>
    </row>
    <row r="22" spans="2:4" ht="15">
      <c r="B22" s="46" t="s">
        <v>134</v>
      </c>
      <c r="C22" s="47" t="s">
        <v>60</v>
      </c>
      <c r="D22" s="48">
        <f>'Свод 2021'!V54</f>
        <v>2072.15</v>
      </c>
    </row>
    <row r="23" spans="2:4" ht="30">
      <c r="B23" s="46" t="s">
        <v>161</v>
      </c>
      <c r="C23" s="94" t="s">
        <v>138</v>
      </c>
      <c r="D23" s="48">
        <f>'Свод 2021'!AA54+'Свод 2021'!Z54</f>
        <v>15142.619999999999</v>
      </c>
    </row>
    <row r="24" spans="2:4" ht="28.5" customHeight="1">
      <c r="B24" s="124" t="s">
        <v>141</v>
      </c>
      <c r="C24" s="49" t="s">
        <v>140</v>
      </c>
      <c r="D24" s="207">
        <f>'Свод 2021'!AC54</f>
        <v>1183.79</v>
      </c>
    </row>
    <row r="25" spans="2:4" ht="28.5" customHeight="1">
      <c r="B25" s="154" t="s">
        <v>142</v>
      </c>
      <c r="C25" s="98" t="s">
        <v>143</v>
      </c>
      <c r="D25" s="213">
        <f>'Свод 2021'!AB54</f>
        <v>637.58</v>
      </c>
    </row>
    <row r="26" spans="2:4" ht="21.75" customHeight="1">
      <c r="B26" s="200" t="s">
        <v>153</v>
      </c>
      <c r="C26" s="47" t="s">
        <v>59</v>
      </c>
      <c r="D26" s="201">
        <f>'Свод 2021'!AD54</f>
        <v>14026.85</v>
      </c>
    </row>
    <row r="27" spans="2:4" ht="30.75" customHeight="1">
      <c r="B27" s="105" t="s">
        <v>144</v>
      </c>
      <c r="C27" s="164" t="s">
        <v>135</v>
      </c>
      <c r="D27" s="288">
        <f>'Свод 2021'!AE54</f>
        <v>51644.3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2021'!AG54</f>
        <v>22953.02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2021'!AI54</f>
        <v>49572.16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2021'!AK54</f>
        <v>15142.62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2021'!AL54</f>
        <v>13389.26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2021'!AM54</f>
        <v>23271.82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2021'!AJ54</f>
        <v>25981.55</v>
      </c>
      <c r="E42" s="22">
        <f>D43-C8-C13</f>
        <v>9141.779999999984</v>
      </c>
    </row>
    <row r="43" spans="2:4" ht="15.75" thickBot="1">
      <c r="B43" s="227" t="s">
        <v>252</v>
      </c>
      <c r="C43" s="225"/>
      <c r="D43" s="226">
        <f>SUM(D19:D42)</f>
        <v>333524.45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391</v>
      </c>
      <c r="C3" s="269"/>
      <c r="D3" s="269"/>
    </row>
    <row r="4" spans="2:5" ht="15.75" thickBot="1">
      <c r="B4" s="57" t="s">
        <v>268</v>
      </c>
      <c r="C4" s="224">
        <f>'Свод 2021'!H55</f>
        <v>1325.4</v>
      </c>
      <c r="D4" s="215">
        <f>'Свод 2021'!J55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2021'!H55</f>
        <v>1325.4</v>
      </c>
      <c r="F5" s="22">
        <f>'Свод 2021'!J54</f>
        <v>20.88</v>
      </c>
    </row>
    <row r="6" spans="2:4" ht="30">
      <c r="B6" s="178" t="s">
        <v>338</v>
      </c>
      <c r="C6" s="277">
        <f>'Свод 2021'!K55</f>
        <v>20436.540000000037</v>
      </c>
      <c r="D6" s="278"/>
    </row>
    <row r="7" spans="2:4" ht="15">
      <c r="B7" s="40" t="s">
        <v>339</v>
      </c>
      <c r="C7" s="266">
        <f>'Свод 2021'!L55</f>
        <v>249081.6</v>
      </c>
      <c r="D7" s="267"/>
    </row>
    <row r="8" spans="2:4" ht="15">
      <c r="B8" s="40" t="s">
        <v>340</v>
      </c>
      <c r="C8" s="266">
        <f>'Свод 2021'!M55</f>
        <v>248775.11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20743.030000000028</v>
      </c>
      <c r="D10" s="280"/>
      <c r="E10" s="22">
        <f>'Свод 2021'!O55</f>
        <v>20743.030000000028</v>
      </c>
      <c r="F10" s="125"/>
    </row>
    <row r="11" spans="2:4" ht="30">
      <c r="B11" s="178" t="s">
        <v>323</v>
      </c>
      <c r="C11" s="266">
        <f>'Свод 2021'!Q55</f>
        <v>8343.02</v>
      </c>
      <c r="D11" s="267"/>
    </row>
    <row r="12" spans="2:4" ht="15">
      <c r="B12" s="40" t="s">
        <v>342</v>
      </c>
      <c r="C12" s="266">
        <f>'Свод 2021'!R55</f>
        <v>115794.04000000001</v>
      </c>
      <c r="D12" s="267"/>
    </row>
    <row r="13" spans="2:4" ht="15">
      <c r="B13" s="40" t="s">
        <v>343</v>
      </c>
      <c r="C13" s="266">
        <f>'Свод 2021'!S55</f>
        <v>113318.52</v>
      </c>
      <c r="D13" s="267"/>
    </row>
    <row r="14" spans="2:6" ht="28.5">
      <c r="B14" s="41" t="s">
        <v>151</v>
      </c>
      <c r="C14" s="279">
        <f>C11+C12-C13</f>
        <v>10818.540000000008</v>
      </c>
      <c r="D14" s="280"/>
      <c r="E14" s="22">
        <f>'Свод 2021'!T55</f>
        <v>10818.540000000008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2021'!W55</f>
        <v>97178.33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2021'!U55</f>
        <v>1113.34</v>
      </c>
    </row>
    <row r="22" spans="2:4" ht="15">
      <c r="B22" s="46" t="s">
        <v>134</v>
      </c>
      <c r="C22" s="47" t="s">
        <v>60</v>
      </c>
      <c r="D22" s="48">
        <f>'Свод 2021'!V55</f>
        <v>2067.62</v>
      </c>
    </row>
    <row r="23" spans="2:4" ht="30">
      <c r="B23" s="46" t="s">
        <v>161</v>
      </c>
      <c r="C23" s="94" t="s">
        <v>138</v>
      </c>
      <c r="D23" s="48">
        <f>'Свод 2021'!AA55+'Свод 2021'!Z55</f>
        <v>15109.57</v>
      </c>
    </row>
    <row r="24" spans="2:4" ht="28.5" customHeight="1">
      <c r="B24" s="124" t="s">
        <v>141</v>
      </c>
      <c r="C24" s="49" t="s">
        <v>140</v>
      </c>
      <c r="D24" s="207">
        <f>'Свод 2021'!AC55</f>
        <v>1969.44</v>
      </c>
    </row>
    <row r="25" spans="2:4" ht="28.5" customHeight="1">
      <c r="B25" s="154" t="s">
        <v>142</v>
      </c>
      <c r="C25" s="98" t="s">
        <v>143</v>
      </c>
      <c r="D25" s="213">
        <f>'Свод 2021'!AB55</f>
        <v>636.19</v>
      </c>
    </row>
    <row r="26" spans="2:4" ht="21.75" customHeight="1">
      <c r="B26" s="200" t="s">
        <v>153</v>
      </c>
      <c r="C26" s="47" t="s">
        <v>59</v>
      </c>
      <c r="D26" s="201">
        <f>'Свод 2021'!AD55</f>
        <v>18996.22</v>
      </c>
    </row>
    <row r="27" spans="2:4" ht="30.75" customHeight="1">
      <c r="B27" s="105" t="s">
        <v>144</v>
      </c>
      <c r="C27" s="164" t="s">
        <v>135</v>
      </c>
      <c r="D27" s="288">
        <f>'Свод 2021'!AE55</f>
        <v>51531.55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2021'!AG55</f>
        <v>22902.91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2021'!AI55</f>
        <v>54463.93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2021'!AK55</f>
        <v>25109.559999999998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2021'!AL55</f>
        <v>21360.03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2021'!AM55</f>
        <v>26221.01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4" t="s">
        <v>163</v>
      </c>
      <c r="C42" s="151" t="s">
        <v>139</v>
      </c>
      <c r="D42" s="219">
        <f>'Свод 2021'!AJ55</f>
        <v>30924.82</v>
      </c>
      <c r="E42" s="22">
        <f>D43-C8-C13</f>
        <v>7490.890000000087</v>
      </c>
    </row>
    <row r="43" spans="2:4" ht="15" thickBot="1">
      <c r="B43" s="227" t="s">
        <v>252</v>
      </c>
      <c r="C43" s="232"/>
      <c r="D43" s="233">
        <f>SUM(D19:D42)</f>
        <v>369584.5200000001</v>
      </c>
    </row>
    <row r="44" spans="2:4" ht="15" customHeight="1">
      <c r="B44" s="230" t="s">
        <v>145</v>
      </c>
      <c r="C44" s="294" t="s">
        <v>146</v>
      </c>
      <c r="D44" s="29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49:D49"/>
    <mergeCell ref="B50:D50"/>
    <mergeCell ref="C9:D9"/>
    <mergeCell ref="C10:D10"/>
    <mergeCell ref="C11:D11"/>
    <mergeCell ref="C12:D12"/>
    <mergeCell ref="C13:D13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C8:D8"/>
    <mergeCell ref="B1:D1"/>
    <mergeCell ref="B2:D2"/>
    <mergeCell ref="B3:D3"/>
    <mergeCell ref="C5:D5"/>
    <mergeCell ref="C6:D6"/>
    <mergeCell ref="C7:D7"/>
  </mergeCells>
  <printOptions/>
  <pageMargins left="0.24" right="0.24" top="0.2" bottom="0.28" header="0.17" footer="0.17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354</v>
      </c>
      <c r="C3" s="269"/>
      <c r="D3" s="269"/>
    </row>
    <row r="4" spans="2:5" ht="15.75" thickBot="1">
      <c r="B4" s="57" t="s">
        <v>269</v>
      </c>
      <c r="C4" s="224">
        <f>'Свод 2021'!H56</f>
        <v>1796</v>
      </c>
      <c r="D4" s="215">
        <f>'Свод 2021'!J56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2021'!H56</f>
        <v>1796</v>
      </c>
      <c r="F5" s="22">
        <f>'Свод 2021'!J56</f>
        <v>21.73</v>
      </c>
    </row>
    <row r="6" spans="2:4" ht="30">
      <c r="B6" s="178" t="s">
        <v>338</v>
      </c>
      <c r="C6" s="277">
        <f>'Свод 2021'!K56</f>
        <v>155999.23000000004</v>
      </c>
      <c r="D6" s="278"/>
    </row>
    <row r="7" spans="2:4" ht="15">
      <c r="B7" s="40" t="s">
        <v>339</v>
      </c>
      <c r="C7" s="266">
        <f>'Свод 2021'!L56</f>
        <v>468324.96</v>
      </c>
      <c r="D7" s="267"/>
    </row>
    <row r="8" spans="2:4" ht="15">
      <c r="B8" s="40" t="s">
        <v>340</v>
      </c>
      <c r="C8" s="266">
        <f>'Свод 2021'!M56</f>
        <v>468006.19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156318.00000000006</v>
      </c>
      <c r="D10" s="280"/>
      <c r="E10" s="22">
        <f>'Свод 2021'!O56</f>
        <v>156318.00000000006</v>
      </c>
      <c r="F10" s="125"/>
    </row>
    <row r="11" spans="2:4" ht="30">
      <c r="B11" s="178" t="s">
        <v>323</v>
      </c>
      <c r="C11" s="266">
        <f>'Свод 2021'!Q56</f>
        <v>1021.94</v>
      </c>
      <c r="D11" s="267"/>
    </row>
    <row r="12" spans="2:4" ht="15">
      <c r="B12" s="40" t="s">
        <v>342</v>
      </c>
      <c r="C12" s="266">
        <f>'Свод 2021'!R56</f>
        <v>3065.82</v>
      </c>
      <c r="D12" s="267"/>
    </row>
    <row r="13" spans="2:4" ht="15">
      <c r="B13" s="40" t="s">
        <v>343</v>
      </c>
      <c r="C13" s="266">
        <f>'Свод 2021'!S56</f>
        <v>3832.28</v>
      </c>
      <c r="D13" s="267"/>
    </row>
    <row r="14" spans="2:6" ht="28.5">
      <c r="B14" s="41" t="s">
        <v>151</v>
      </c>
      <c r="C14" s="279">
        <f>C11+C12-C13</f>
        <v>255.48000000000002</v>
      </c>
      <c r="D14" s="280"/>
      <c r="E14" s="22">
        <f>'Свод 2021'!T56</f>
        <v>255.48000000000002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2021'!W56</f>
        <v>131682.72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2021'!U56</f>
        <v>1508.64</v>
      </c>
    </row>
    <row r="22" spans="2:4" ht="15">
      <c r="B22" s="46" t="s">
        <v>134</v>
      </c>
      <c r="C22" s="47" t="s">
        <v>60</v>
      </c>
      <c r="D22" s="48">
        <f>'Свод 2021'!V56</f>
        <v>66306.99</v>
      </c>
    </row>
    <row r="23" spans="2:4" ht="30">
      <c r="B23" s="46" t="s">
        <v>161</v>
      </c>
      <c r="C23" s="94" t="s">
        <v>138</v>
      </c>
      <c r="D23" s="48">
        <f>'Свод 2021'!AA56+'Свод 2021'!Z56</f>
        <v>20474.4</v>
      </c>
    </row>
    <row r="24" spans="2:4" ht="28.5" customHeight="1">
      <c r="B24" s="124" t="s">
        <v>141</v>
      </c>
      <c r="C24" s="49" t="s">
        <v>140</v>
      </c>
      <c r="D24" s="207">
        <f>'Свод 2021'!AC56</f>
        <v>1828.1399999999999</v>
      </c>
    </row>
    <row r="25" spans="2:4" ht="28.5" customHeight="1">
      <c r="B25" s="154" t="s">
        <v>142</v>
      </c>
      <c r="C25" s="98" t="s">
        <v>143</v>
      </c>
      <c r="D25" s="213">
        <f>'Свод 2021'!AB56</f>
        <v>862.08</v>
      </c>
    </row>
    <row r="26" spans="2:4" ht="21.75" customHeight="1">
      <c r="B26" s="200" t="s">
        <v>153</v>
      </c>
      <c r="C26" s="47" t="s">
        <v>59</v>
      </c>
      <c r="D26" s="201">
        <f>'Свод 2021'!AD56</f>
        <v>18965.76</v>
      </c>
    </row>
    <row r="27" spans="2:4" ht="30.75" customHeight="1">
      <c r="B27" s="105" t="s">
        <v>144</v>
      </c>
      <c r="C27" s="164" t="s">
        <v>135</v>
      </c>
      <c r="D27" s="288">
        <f>'Свод 2021'!AE56</f>
        <v>69828.48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2021'!AG56</f>
        <v>31034.88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2021'!AI56</f>
        <v>67026.72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2021'!AK56</f>
        <v>38578.08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2021'!AL56</f>
        <v>18319.2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2021'!AM56</f>
        <v>31465.92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2021'!AJ56</f>
        <v>35129.76</v>
      </c>
      <c r="E42" s="22">
        <f>D43-C8-C13</f>
        <v>61173.30000000002</v>
      </c>
    </row>
    <row r="43" spans="2:4" ht="15" thickBot="1">
      <c r="B43" s="227" t="s">
        <v>252</v>
      </c>
      <c r="C43" s="228"/>
      <c r="D43" s="229">
        <f>SUM(D19:D42)</f>
        <v>533011.77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392</v>
      </c>
      <c r="C3" s="269"/>
      <c r="D3" s="269"/>
    </row>
    <row r="4" spans="2:5" ht="15.75" thickBot="1">
      <c r="B4" s="57" t="s">
        <v>270</v>
      </c>
      <c r="C4" s="224">
        <f>'Свод 2021'!H57</f>
        <v>2691.4</v>
      </c>
      <c r="D4" s="215">
        <f>'Свод 2021'!J57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2021'!H57</f>
        <v>2691.4</v>
      </c>
      <c r="F5" s="22">
        <f>'Свод 2021'!J57</f>
        <v>20.88</v>
      </c>
    </row>
    <row r="6" spans="2:4" ht="30">
      <c r="B6" s="178" t="s">
        <v>338</v>
      </c>
      <c r="C6" s="277">
        <f>'Свод 2021'!K57</f>
        <v>172209.40000000014</v>
      </c>
      <c r="D6" s="278"/>
    </row>
    <row r="7" spans="2:4" ht="15">
      <c r="B7" s="40" t="s">
        <v>339</v>
      </c>
      <c r="C7" s="266">
        <f>'Свод 2021'!L57</f>
        <v>674357.28</v>
      </c>
      <c r="D7" s="267"/>
    </row>
    <row r="8" spans="2:4" ht="15">
      <c r="B8" s="40" t="s">
        <v>340</v>
      </c>
      <c r="C8" s="266">
        <f>'Свод 2021'!M57</f>
        <v>676036.04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170530.64000000013</v>
      </c>
      <c r="D10" s="280"/>
      <c r="E10" s="22">
        <f>'Свод 2021'!O57</f>
        <v>170530.64000000013</v>
      </c>
      <c r="F10" s="125"/>
    </row>
    <row r="11" spans="2:4" ht="30">
      <c r="B11" s="178" t="s">
        <v>323</v>
      </c>
      <c r="C11" s="266">
        <f>'Свод 2021'!Q57</f>
        <v>1553.48</v>
      </c>
      <c r="D11" s="267"/>
    </row>
    <row r="12" spans="2:4" ht="15">
      <c r="B12" s="40" t="s">
        <v>342</v>
      </c>
      <c r="C12" s="266">
        <f>'Свод 2021'!R57</f>
        <v>5505.150000000001</v>
      </c>
      <c r="D12" s="267"/>
    </row>
    <row r="13" spans="2:4" ht="15">
      <c r="B13" s="40" t="s">
        <v>343</v>
      </c>
      <c r="C13" s="266">
        <f>'Свод 2021'!S57</f>
        <v>6670.26</v>
      </c>
      <c r="D13" s="267"/>
    </row>
    <row r="14" spans="2:6" ht="28.5">
      <c r="B14" s="41" t="s">
        <v>151</v>
      </c>
      <c r="C14" s="279">
        <f>C11+C12-C13</f>
        <v>388.3700000000008</v>
      </c>
      <c r="D14" s="280"/>
      <c r="E14" s="22">
        <f>'Свод 2021'!T57</f>
        <v>388.3700000000008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2021'!W57</f>
        <v>197333.45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2021'!U57</f>
        <v>2260.78</v>
      </c>
    </row>
    <row r="22" spans="2:4" ht="15">
      <c r="B22" s="46" t="s">
        <v>134</v>
      </c>
      <c r="C22" s="47" t="s">
        <v>60</v>
      </c>
      <c r="D22" s="48">
        <f>'Свод 2021'!V57</f>
        <v>54177.47</v>
      </c>
    </row>
    <row r="23" spans="2:4" ht="30">
      <c r="B23" s="46" t="s">
        <v>161</v>
      </c>
      <c r="C23" s="94" t="s">
        <v>138</v>
      </c>
      <c r="D23" s="48">
        <f>'Свод 2021'!AA57+'Свод 2021'!Z57</f>
        <v>30681.97</v>
      </c>
    </row>
    <row r="24" spans="2:4" ht="28.5" customHeight="1">
      <c r="B24" s="124" t="s">
        <v>141</v>
      </c>
      <c r="C24" s="49" t="s">
        <v>140</v>
      </c>
      <c r="D24" s="207">
        <f>'Свод 2021'!AC57</f>
        <v>1762.55</v>
      </c>
    </row>
    <row r="25" spans="2:4" ht="28.5" customHeight="1">
      <c r="B25" s="154" t="s">
        <v>142</v>
      </c>
      <c r="C25" s="98" t="s">
        <v>143</v>
      </c>
      <c r="D25" s="213">
        <f>'Свод 2021'!AB57</f>
        <v>1291.87</v>
      </c>
    </row>
    <row r="26" spans="2:4" ht="21.75" customHeight="1">
      <c r="B26" s="200" t="s">
        <v>153</v>
      </c>
      <c r="C26" s="47" t="s">
        <v>59</v>
      </c>
      <c r="D26" s="201">
        <f>'Свод 2021'!AD57</f>
        <v>28421.18</v>
      </c>
    </row>
    <row r="27" spans="2:4" ht="30.75" customHeight="1">
      <c r="B27" s="105" t="s">
        <v>144</v>
      </c>
      <c r="C27" s="164" t="s">
        <v>135</v>
      </c>
      <c r="D27" s="288">
        <f>'Свод 2021'!AE57</f>
        <v>104641.63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2021'!AG57</f>
        <v>46507.39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2021'!AI57</f>
        <v>100443.05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2021'!AK57</f>
        <v>30681.96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2021'!AL57</f>
        <v>27129.31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2021'!AM57</f>
        <v>47153.33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2021'!AJ57</f>
        <v>52643.78</v>
      </c>
      <c r="E42" s="22">
        <f>D43-C8-C13</f>
        <v>42423.42000000005</v>
      </c>
    </row>
    <row r="43" spans="2:4" ht="15" thickBot="1">
      <c r="B43" s="227" t="s">
        <v>252</v>
      </c>
      <c r="C43" s="228"/>
      <c r="D43" s="229">
        <f>SUM(D19:D42)</f>
        <v>725129.7200000001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D27:D30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17" right="0.19" top="0.29" bottom="0.25" header="0.24" footer="0.17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393</v>
      </c>
      <c r="C3" s="269"/>
      <c r="D3" s="269"/>
    </row>
    <row r="4" spans="2:5" ht="15.75" thickBot="1">
      <c r="B4" s="57" t="s">
        <v>271</v>
      </c>
      <c r="C4" s="214">
        <f>'Свод 2021'!H58</f>
        <v>2995</v>
      </c>
      <c r="D4" s="215">
        <f>'Свод 2021'!J58</f>
        <v>33.45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2021'!H58</f>
        <v>2995</v>
      </c>
      <c r="F5" s="22">
        <f>'Свод 2021'!J58</f>
        <v>33.45</v>
      </c>
    </row>
    <row r="6" spans="2:4" ht="30">
      <c r="B6" s="178" t="s">
        <v>338</v>
      </c>
      <c r="C6" s="277">
        <f>'Свод 2021'!K58</f>
        <v>390023.03</v>
      </c>
      <c r="D6" s="278"/>
    </row>
    <row r="7" spans="2:4" ht="15">
      <c r="B7" s="40" t="s">
        <v>339</v>
      </c>
      <c r="C7" s="266">
        <f>'Свод 2021'!L58</f>
        <v>1052191.2</v>
      </c>
      <c r="D7" s="267"/>
    </row>
    <row r="8" spans="2:4" ht="15">
      <c r="B8" s="40" t="s">
        <v>340</v>
      </c>
      <c r="C8" s="266">
        <f>'Свод 2021'!M58</f>
        <v>1111182.98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'Свод 2021'!O58</f>
        <v>331031.25</v>
      </c>
      <c r="D10" s="280"/>
      <c r="E10" s="22">
        <f>'Свод 2021'!O58</f>
        <v>331031.25</v>
      </c>
      <c r="F10" s="125"/>
    </row>
    <row r="11" spans="2:4" ht="30">
      <c r="B11" s="178" t="s">
        <v>323</v>
      </c>
      <c r="C11" s="266">
        <f>'Свод 2021'!Q58</f>
        <v>0</v>
      </c>
      <c r="D11" s="267"/>
    </row>
    <row r="12" spans="2:4" ht="15">
      <c r="B12" s="40" t="s">
        <v>342</v>
      </c>
      <c r="C12" s="266">
        <f>'Свод 2021'!R58</f>
        <v>198952.22</v>
      </c>
      <c r="D12" s="267"/>
    </row>
    <row r="13" spans="2:4" ht="15">
      <c r="B13" s="40" t="s">
        <v>343</v>
      </c>
      <c r="C13" s="266">
        <f>'Свод 2021'!S58</f>
        <v>198952.22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2021'!T58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2021'!W58</f>
        <v>219593.4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2021'!U58</f>
        <v>2515.8</v>
      </c>
    </row>
    <row r="22" spans="2:4" ht="15">
      <c r="B22" s="46" t="s">
        <v>134</v>
      </c>
      <c r="C22" s="47" t="s">
        <v>60</v>
      </c>
      <c r="D22" s="48">
        <f>'Свод 2021'!V58</f>
        <v>4672.2</v>
      </c>
    </row>
    <row r="23" spans="2:4" ht="30">
      <c r="B23" s="46" t="s">
        <v>161</v>
      </c>
      <c r="C23" s="94" t="s">
        <v>138</v>
      </c>
      <c r="D23" s="48">
        <f>'Свод 2021'!AA58+'Свод 2021'!Z58</f>
        <v>34143</v>
      </c>
    </row>
    <row r="24" spans="2:4" ht="28.5" customHeight="1">
      <c r="B24" s="124" t="s">
        <v>141</v>
      </c>
      <c r="C24" s="49" t="s">
        <v>140</v>
      </c>
      <c r="D24" s="207">
        <f>'Свод 2021'!AC58</f>
        <v>1871.85</v>
      </c>
    </row>
    <row r="25" spans="2:4" ht="28.5" customHeight="1">
      <c r="B25" s="218" t="s">
        <v>142</v>
      </c>
      <c r="C25" s="49" t="s">
        <v>143</v>
      </c>
      <c r="D25" s="207">
        <f>'Свод 2021'!AB58</f>
        <v>1437.6</v>
      </c>
    </row>
    <row r="26" spans="2:4" ht="21.75" customHeight="1" thickBot="1">
      <c r="B26" s="172" t="s">
        <v>153</v>
      </c>
      <c r="C26" s="173" t="s">
        <v>59</v>
      </c>
      <c r="D26" s="174">
        <f>'Свод 2021'!AD58</f>
        <v>31627.2</v>
      </c>
    </row>
    <row r="27" spans="2:4" ht="30.75" customHeight="1">
      <c r="B27" s="95" t="s">
        <v>144</v>
      </c>
      <c r="C27" s="150" t="s">
        <v>135</v>
      </c>
      <c r="D27" s="291">
        <f>'Свод 2021'!AE58</f>
        <v>116445.6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00" t="s">
        <v>272</v>
      </c>
      <c r="C31" s="164" t="s">
        <v>166</v>
      </c>
      <c r="D31" s="207">
        <f>'Свод 2021'!Y58</f>
        <v>470890.6</v>
      </c>
    </row>
    <row r="32" spans="2:4" ht="30">
      <c r="B32" s="175" t="s">
        <v>158</v>
      </c>
      <c r="C32" s="164" t="s">
        <v>166</v>
      </c>
      <c r="D32" s="176">
        <f>'Свод 2021'!AG58</f>
        <v>51753.6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2021'!AI58</f>
        <v>119099.6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2021'!AK58</f>
        <v>84332.6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2021'!AL58</f>
        <v>45549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2021'!AM58</f>
        <v>52472.4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2021'!AJ58</f>
        <v>78582.2</v>
      </c>
      <c r="E43" s="22">
        <f>D44-C8-C13</f>
        <v>4851.449999999924</v>
      </c>
    </row>
    <row r="44" spans="2:4" ht="15" thickBot="1">
      <c r="B44" s="227" t="s">
        <v>252</v>
      </c>
      <c r="C44" s="228"/>
      <c r="D44" s="229">
        <f>SUM(D19:D43)</f>
        <v>1314986.65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0.75" customHeight="1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8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394</v>
      </c>
      <c r="C3" s="269"/>
      <c r="D3" s="269"/>
    </row>
    <row r="4" spans="2:5" ht="15.75" thickBot="1">
      <c r="B4" s="57" t="s">
        <v>273</v>
      </c>
      <c r="C4" s="224">
        <f>'Свод 2021'!H59</f>
        <v>1263.6</v>
      </c>
      <c r="D4" s="215">
        <f>'Свод 2021'!J59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2021'!H59</f>
        <v>1263.6</v>
      </c>
      <c r="F5" s="22">
        <f>'Свод 2021'!J59</f>
        <v>20.88</v>
      </c>
    </row>
    <row r="6" spans="2:4" ht="30">
      <c r="B6" s="178" t="s">
        <v>338</v>
      </c>
      <c r="C6" s="277">
        <f>'Свод 2021'!K59</f>
        <v>47568.5</v>
      </c>
      <c r="D6" s="278"/>
    </row>
    <row r="7" spans="2:4" ht="15">
      <c r="B7" s="40" t="s">
        <v>339</v>
      </c>
      <c r="C7" s="266">
        <f>'Свод 2021'!L59</f>
        <v>302375.76</v>
      </c>
      <c r="D7" s="267"/>
    </row>
    <row r="8" spans="2:4" ht="15">
      <c r="B8" s="40" t="s">
        <v>340</v>
      </c>
      <c r="C8" s="266">
        <f>'Свод 2021'!M59</f>
        <v>301480.46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48463.79999999999</v>
      </c>
      <c r="D10" s="280"/>
      <c r="E10" s="22">
        <f>'Свод 2021'!O59</f>
        <v>48463.79999999999</v>
      </c>
      <c r="F10" s="125"/>
    </row>
    <row r="11" spans="2:4" ht="30">
      <c r="B11" s="178" t="s">
        <v>323</v>
      </c>
      <c r="C11" s="266">
        <f>'Свод 2021'!Q59</f>
        <v>0</v>
      </c>
      <c r="D11" s="267"/>
    </row>
    <row r="12" spans="2:4" ht="15">
      <c r="B12" s="40" t="s">
        <v>342</v>
      </c>
      <c r="C12" s="266">
        <f>'Свод 2021'!R59</f>
        <v>23507.63</v>
      </c>
      <c r="D12" s="267"/>
    </row>
    <row r="13" spans="2:4" ht="15">
      <c r="B13" s="40" t="s">
        <v>343</v>
      </c>
      <c r="C13" s="266">
        <f>'Свод 2021'!S59</f>
        <v>18282.29</v>
      </c>
      <c r="D13" s="267"/>
    </row>
    <row r="14" spans="2:6" ht="28.5">
      <c r="B14" s="41" t="s">
        <v>151</v>
      </c>
      <c r="C14" s="279">
        <f>C11+C12-C13</f>
        <v>5225.34</v>
      </c>
      <c r="D14" s="280"/>
      <c r="E14" s="22">
        <f>'Свод 2021'!T59</f>
        <v>5225.34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2021'!W59</f>
        <v>92647.15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2021'!U59</f>
        <v>1061.42</v>
      </c>
    </row>
    <row r="22" spans="2:4" ht="15">
      <c r="B22" s="46" t="s">
        <v>134</v>
      </c>
      <c r="C22" s="47" t="s">
        <v>60</v>
      </c>
      <c r="D22" s="48">
        <f>'Свод 2021'!V59</f>
        <v>4244.47</v>
      </c>
    </row>
    <row r="23" spans="2:4" ht="30">
      <c r="B23" s="46" t="s">
        <v>161</v>
      </c>
      <c r="C23" s="94" t="s">
        <v>138</v>
      </c>
      <c r="D23" s="48">
        <f>'Свод 2021'!AA59+'Свод 2021'!Z59</f>
        <v>14405.029999999999</v>
      </c>
    </row>
    <row r="24" spans="2:4" ht="28.5" customHeight="1">
      <c r="B24" s="124" t="s">
        <v>141</v>
      </c>
      <c r="C24" s="49" t="s">
        <v>140</v>
      </c>
      <c r="D24" s="207">
        <f>'Свод 2021'!AC59</f>
        <v>3124.26</v>
      </c>
    </row>
    <row r="25" spans="2:4" ht="28.5" customHeight="1">
      <c r="B25" s="154" t="s">
        <v>142</v>
      </c>
      <c r="C25" s="98" t="s">
        <v>143</v>
      </c>
      <c r="D25" s="213">
        <f>'Свод 2021'!AB59</f>
        <v>606.53</v>
      </c>
    </row>
    <row r="26" spans="2:4" ht="21.75" customHeight="1">
      <c r="B26" s="200" t="s">
        <v>153</v>
      </c>
      <c r="C26" s="47" t="s">
        <v>59</v>
      </c>
      <c r="D26" s="201">
        <f>'Свод 2021'!AD59</f>
        <v>13343.62</v>
      </c>
    </row>
    <row r="27" spans="2:4" ht="30.75" customHeight="1">
      <c r="B27" s="105" t="s">
        <v>144</v>
      </c>
      <c r="C27" s="164" t="s">
        <v>135</v>
      </c>
      <c r="D27" s="288">
        <f>'Свод 2021'!AE59</f>
        <v>49128.77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2021'!AG59</f>
        <v>21835.01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2021'!AI59</f>
        <v>92805.55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2021'!AK59</f>
        <v>14405.04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2021'!AL59</f>
        <v>12737.09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2021'!AM59</f>
        <v>22138.27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2021'!AJ59</f>
        <v>24716.02</v>
      </c>
      <c r="E42" s="22">
        <f>D43-C8-C13</f>
        <v>47435.48000000002</v>
      </c>
    </row>
    <row r="43" spans="2:4" ht="15" thickBot="1">
      <c r="B43" s="227" t="s">
        <v>252</v>
      </c>
      <c r="C43" s="228"/>
      <c r="D43" s="229">
        <f>SUM(D19:D42)</f>
        <v>367198.23000000004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24" right="0.24" top="0.18" bottom="0.17" header="0.17" footer="0.17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381</v>
      </c>
      <c r="C3" s="269"/>
      <c r="D3" s="269"/>
    </row>
    <row r="4" spans="2:5" ht="15.75" thickBot="1">
      <c r="B4" s="57" t="s">
        <v>274</v>
      </c>
      <c r="C4" s="224">
        <f>'Свод 2021'!H60</f>
        <v>1986.8</v>
      </c>
      <c r="D4" s="215">
        <f>'Свод 2021'!J60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2021'!H60</f>
        <v>1986.8</v>
      </c>
      <c r="F5" s="22">
        <f>'Свод 2021'!J60</f>
        <v>20.88</v>
      </c>
    </row>
    <row r="6" spans="2:4" ht="30">
      <c r="B6" s="178" t="s">
        <v>338</v>
      </c>
      <c r="C6" s="277">
        <f>'Свод 2021'!K60</f>
        <v>105764.29000000007</v>
      </c>
      <c r="D6" s="278"/>
    </row>
    <row r="7" spans="2:4" ht="15">
      <c r="B7" s="40" t="s">
        <v>339</v>
      </c>
      <c r="C7" s="266">
        <f>'Свод 2021'!L60</f>
        <v>475888.56</v>
      </c>
      <c r="D7" s="267"/>
    </row>
    <row r="8" spans="2:4" ht="15">
      <c r="B8" s="40" t="s">
        <v>340</v>
      </c>
      <c r="C8" s="266">
        <f>'Свод 2021'!M60</f>
        <v>464973.94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116678.91000000009</v>
      </c>
      <c r="D10" s="280"/>
      <c r="E10" s="22">
        <f>'Свод 2021'!O60</f>
        <v>116678.91000000009</v>
      </c>
      <c r="F10" s="125"/>
    </row>
    <row r="11" spans="2:4" ht="30">
      <c r="B11" s="178" t="s">
        <v>323</v>
      </c>
      <c r="C11" s="266">
        <f>'Свод 2021'!Q60</f>
        <v>0</v>
      </c>
      <c r="D11" s="267"/>
    </row>
    <row r="12" spans="2:4" ht="15">
      <c r="B12" s="40" t="s">
        <v>342</v>
      </c>
      <c r="C12" s="266">
        <f>'Свод 2021'!R60</f>
        <v>34520.57</v>
      </c>
      <c r="D12" s="267"/>
    </row>
    <row r="13" spans="2:4" ht="15">
      <c r="B13" s="40" t="s">
        <v>343</v>
      </c>
      <c r="C13" s="266">
        <f>'Свод 2021'!S60</f>
        <v>34170.57</v>
      </c>
      <c r="D13" s="267"/>
    </row>
    <row r="14" spans="2:6" ht="28.5">
      <c r="B14" s="41" t="s">
        <v>151</v>
      </c>
      <c r="C14" s="279">
        <f>C11+C12-C13</f>
        <v>350</v>
      </c>
      <c r="D14" s="280"/>
      <c r="E14" s="22">
        <f>'Свод 2021'!T60</f>
        <v>350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2021'!W60</f>
        <v>145672.18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2021'!U60</f>
        <v>1668.91</v>
      </c>
    </row>
    <row r="22" spans="2:4" ht="15">
      <c r="B22" s="46" t="s">
        <v>134</v>
      </c>
      <c r="C22" s="47" t="s">
        <v>60</v>
      </c>
      <c r="D22" s="48">
        <f>'Свод 2021'!V60</f>
        <v>6885.049999999999</v>
      </c>
    </row>
    <row r="23" spans="2:4" ht="30">
      <c r="B23" s="46" t="s">
        <v>161</v>
      </c>
      <c r="C23" s="94" t="s">
        <v>138</v>
      </c>
      <c r="D23" s="48">
        <f>'Свод 2021'!AA60+'Свод 2021'!Z60</f>
        <v>22649.519999999997</v>
      </c>
    </row>
    <row r="24" spans="2:4" ht="28.5" customHeight="1">
      <c r="B24" s="124" t="s">
        <v>141</v>
      </c>
      <c r="C24" s="49" t="s">
        <v>140</v>
      </c>
      <c r="D24" s="207">
        <f>'Свод 2021'!AC60</f>
        <v>3586.99</v>
      </c>
    </row>
    <row r="25" spans="2:4" ht="28.5" customHeight="1">
      <c r="B25" s="154" t="s">
        <v>142</v>
      </c>
      <c r="C25" s="98" t="s">
        <v>143</v>
      </c>
      <c r="D25" s="213">
        <f>'Свод 2021'!AB60</f>
        <v>953.66</v>
      </c>
    </row>
    <row r="26" spans="2:4" ht="21.75" customHeight="1">
      <c r="B26" s="200" t="s">
        <v>153</v>
      </c>
      <c r="C26" s="47" t="s">
        <v>59</v>
      </c>
      <c r="D26" s="201">
        <f>'Свод 2021'!AD60</f>
        <v>23980.61</v>
      </c>
    </row>
    <row r="27" spans="2:4" ht="30.75" customHeight="1">
      <c r="B27" s="105" t="s">
        <v>144</v>
      </c>
      <c r="C27" s="164" t="s">
        <v>135</v>
      </c>
      <c r="D27" s="288">
        <f>'Свод 2021'!AE60</f>
        <v>77246.78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2021'!AG60</f>
        <v>34331.9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2021'!AI60</f>
        <v>74147.38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2021'!AK60</f>
        <v>22649.52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2021'!AL60</f>
        <v>20026.94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2021'!AM60</f>
        <v>34808.74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2021'!AJ60</f>
        <v>38861.81</v>
      </c>
      <c r="E42" s="22">
        <f>D43-C8-C13</f>
        <v>8325.479999999989</v>
      </c>
    </row>
    <row r="43" spans="2:4" ht="15" thickBot="1">
      <c r="B43" s="227" t="s">
        <v>252</v>
      </c>
      <c r="C43" s="228"/>
      <c r="D43" s="229">
        <f>SUM(D19:D42)</f>
        <v>507469.99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8" bottom="0.17" header="0.2" footer="0.17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395</v>
      </c>
      <c r="C3" s="269"/>
      <c r="D3" s="269"/>
    </row>
    <row r="4" spans="2:5" ht="15.75" thickBot="1">
      <c r="B4" s="57" t="s">
        <v>275</v>
      </c>
      <c r="C4" s="224">
        <f>'Свод 2021'!H61</f>
        <v>1587.7</v>
      </c>
      <c r="D4" s="215">
        <f>'Свод 2021'!J61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2021'!H61</f>
        <v>1587.7</v>
      </c>
      <c r="F5" s="22">
        <f>'Свод 2021'!J61</f>
        <v>20.88</v>
      </c>
    </row>
    <row r="6" spans="2:4" ht="30">
      <c r="B6" s="178" t="s">
        <v>338</v>
      </c>
      <c r="C6" s="277">
        <f>'Свод 2021'!K61</f>
        <v>142575.27999999997</v>
      </c>
      <c r="D6" s="278"/>
    </row>
    <row r="7" spans="2:4" ht="15">
      <c r="B7" s="40" t="s">
        <v>339</v>
      </c>
      <c r="C7" s="266">
        <f>'Свод 2021'!L61</f>
        <v>342079.22</v>
      </c>
      <c r="D7" s="267"/>
    </row>
    <row r="8" spans="2:4" ht="15">
      <c r="B8" s="40" t="s">
        <v>340</v>
      </c>
      <c r="C8" s="266">
        <f>'Свод 2021'!M61</f>
        <v>334745.3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149909.19999999995</v>
      </c>
      <c r="D10" s="280"/>
      <c r="E10" s="22">
        <f>'Свод 2021'!O61</f>
        <v>149909.19999999995</v>
      </c>
      <c r="F10" s="125"/>
    </row>
    <row r="11" spans="2:4" ht="30">
      <c r="B11" s="178" t="s">
        <v>323</v>
      </c>
      <c r="C11" s="266">
        <f>'Свод 2021'!Q61</f>
        <v>6589.2699999999995</v>
      </c>
      <c r="D11" s="267"/>
    </row>
    <row r="12" spans="2:4" ht="15">
      <c r="B12" s="40" t="s">
        <v>342</v>
      </c>
      <c r="C12" s="266">
        <f>'Свод 2021'!R61</f>
        <v>71868.06</v>
      </c>
      <c r="D12" s="267"/>
    </row>
    <row r="13" spans="2:4" ht="15">
      <c r="B13" s="40" t="s">
        <v>343</v>
      </c>
      <c r="C13" s="266">
        <f>'Свод 2021'!S61</f>
        <v>66840.93</v>
      </c>
      <c r="D13" s="267"/>
    </row>
    <row r="14" spans="2:6" ht="28.5">
      <c r="B14" s="41" t="s">
        <v>151</v>
      </c>
      <c r="C14" s="279">
        <f>C11+C12-C13</f>
        <v>11616.400000000009</v>
      </c>
      <c r="D14" s="280"/>
      <c r="E14" s="22">
        <f>'Свод 2021'!T61</f>
        <v>11616.400000000009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2021'!W61</f>
        <v>116410.16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2021'!U61</f>
        <v>1333.67</v>
      </c>
    </row>
    <row r="22" spans="2:4" ht="15">
      <c r="B22" s="46" t="s">
        <v>134</v>
      </c>
      <c r="C22" s="47" t="s">
        <v>60</v>
      </c>
      <c r="D22" s="48">
        <f>'Свод 2021'!V61</f>
        <v>2476.81</v>
      </c>
    </row>
    <row r="23" spans="2:4" ht="30">
      <c r="B23" s="46" t="s">
        <v>161</v>
      </c>
      <c r="C23" s="94" t="s">
        <v>138</v>
      </c>
      <c r="D23" s="48">
        <f>'Свод 2021'!AA61+'Свод 2021'!Z61</f>
        <v>18099.78</v>
      </c>
    </row>
    <row r="24" spans="2:4" ht="28.5" customHeight="1">
      <c r="B24" s="124" t="s">
        <v>141</v>
      </c>
      <c r="C24" s="49" t="s">
        <v>140</v>
      </c>
      <c r="D24" s="207">
        <f>'Свод 2021'!AC61</f>
        <v>1585.29</v>
      </c>
    </row>
    <row r="25" spans="2:4" ht="28.5" customHeight="1">
      <c r="B25" s="154" t="s">
        <v>142</v>
      </c>
      <c r="C25" s="98" t="s">
        <v>143</v>
      </c>
      <c r="D25" s="213">
        <f>'Свод 2021'!AB61</f>
        <v>762.1</v>
      </c>
    </row>
    <row r="26" spans="2:4" ht="21.75" customHeight="1">
      <c r="B26" s="200" t="s">
        <v>153</v>
      </c>
      <c r="C26" s="47" t="s">
        <v>59</v>
      </c>
      <c r="D26" s="201">
        <f>'Свод 2021'!AD61</f>
        <v>16766.11</v>
      </c>
    </row>
    <row r="27" spans="2:4" ht="30.75" customHeight="1">
      <c r="B27" s="105" t="s">
        <v>144</v>
      </c>
      <c r="C27" s="164" t="s">
        <v>135</v>
      </c>
      <c r="D27" s="288">
        <f>'Свод 2021'!AE61</f>
        <v>61729.78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2021'!AG61</f>
        <v>27435.46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2021'!AI61</f>
        <v>96884.95999999999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2021'!AK61</f>
        <v>18099.78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2021'!AL61</f>
        <v>16004.02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2021'!AM61</f>
        <v>27816.5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2021'!AJ61</f>
        <v>31055.41</v>
      </c>
      <c r="E42" s="22">
        <f>D43-C8-C13</f>
        <v>34873.600000000035</v>
      </c>
    </row>
    <row r="43" spans="2:4" ht="15" thickBot="1">
      <c r="B43" s="235" t="s">
        <v>252</v>
      </c>
      <c r="C43" s="228"/>
      <c r="D43" s="236">
        <f>SUM(D19:D42)</f>
        <v>436459.83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18" bottom="0.27" header="0.17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9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348</v>
      </c>
      <c r="C3" s="269"/>
      <c r="D3" s="269"/>
    </row>
    <row r="4" spans="2:5" ht="15.75" thickBot="1">
      <c r="B4" s="57" t="s">
        <v>213</v>
      </c>
      <c r="C4" s="224">
        <f>'Свод 2021'!H8</f>
        <v>2730</v>
      </c>
      <c r="D4" s="215">
        <f>'Свод 2021'!J8</f>
        <v>20.88</v>
      </c>
      <c r="E4" s="22"/>
    </row>
    <row r="5" spans="2:5" ht="31.5" customHeight="1" thickBot="1">
      <c r="B5" s="36" t="s">
        <v>54</v>
      </c>
      <c r="C5" s="275" t="s">
        <v>150</v>
      </c>
      <c r="D5" s="276"/>
      <c r="E5" s="22">
        <f>'Свод 2021'!H8</f>
        <v>2730</v>
      </c>
    </row>
    <row r="6" spans="2:4" ht="30">
      <c r="B6" s="178" t="s">
        <v>338</v>
      </c>
      <c r="C6" s="277">
        <f>'Свод 2021'!K8</f>
        <v>213296.92000000016</v>
      </c>
      <c r="D6" s="278"/>
    </row>
    <row r="7" spans="2:4" ht="15">
      <c r="B7" s="40" t="s">
        <v>339</v>
      </c>
      <c r="C7" s="266">
        <f>'Свод 2021'!L8</f>
        <v>673317.33</v>
      </c>
      <c r="D7" s="267"/>
    </row>
    <row r="8" spans="2:4" ht="15">
      <c r="B8" s="40" t="s">
        <v>340</v>
      </c>
      <c r="C8" s="266">
        <f>'Свод 2021'!M8</f>
        <v>657665.48</v>
      </c>
      <c r="D8" s="267"/>
    </row>
    <row r="9" spans="2:4" ht="15">
      <c r="B9" s="40" t="s">
        <v>127</v>
      </c>
      <c r="C9" s="266" t="str">
        <f>'Свод 2021'!N4</f>
        <v>-0,01</v>
      </c>
      <c r="D9" s="267"/>
    </row>
    <row r="10" spans="2:6" ht="28.5">
      <c r="B10" s="41" t="s">
        <v>147</v>
      </c>
      <c r="C10" s="279">
        <f>C6+C7-C8-C9</f>
        <v>228948.78000000014</v>
      </c>
      <c r="D10" s="280"/>
      <c r="E10" s="22">
        <f>'Свод 2021'!O8</f>
        <v>228948.77000000014</v>
      </c>
      <c r="F10" s="125"/>
    </row>
    <row r="11" spans="2:4" ht="30">
      <c r="B11" s="178" t="s">
        <v>323</v>
      </c>
      <c r="C11" s="266">
        <f>'Свод 2021'!Q8</f>
        <v>10647.869999999999</v>
      </c>
      <c r="D11" s="267"/>
    </row>
    <row r="12" spans="2:4" ht="15">
      <c r="B12" s="40" t="s">
        <v>342</v>
      </c>
      <c r="C12" s="266">
        <f>'Свод 2021'!R8</f>
        <v>28082.13</v>
      </c>
      <c r="D12" s="267"/>
    </row>
    <row r="13" spans="2:4" ht="15">
      <c r="B13" s="40" t="s">
        <v>343</v>
      </c>
      <c r="C13" s="266">
        <f>'Свод 2021'!S8</f>
        <v>38541.94</v>
      </c>
      <c r="D13" s="267"/>
    </row>
    <row r="14" spans="2:6" ht="28.5">
      <c r="B14" s="41" t="s">
        <v>151</v>
      </c>
      <c r="C14" s="279">
        <f>C11+C12-C13</f>
        <v>188.05999999999767</v>
      </c>
      <c r="D14" s="280"/>
      <c r="E14" s="22">
        <f>'Свод 2021'!T8</f>
        <v>188.05999999999767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2021'!W8</f>
        <v>200163.6</v>
      </c>
    </row>
    <row r="20" spans="2:5" ht="15.75" thickBot="1">
      <c r="B20" s="158" t="s">
        <v>152</v>
      </c>
      <c r="C20" s="97" t="s">
        <v>143</v>
      </c>
      <c r="D20" s="289"/>
      <c r="E20" t="s">
        <v>176</v>
      </c>
    </row>
    <row r="21" spans="2:4" ht="30">
      <c r="B21" s="105" t="s">
        <v>160</v>
      </c>
      <c r="C21" s="106" t="s">
        <v>157</v>
      </c>
      <c r="D21" s="170">
        <f>'Свод 2021'!U8</f>
        <v>2293.2</v>
      </c>
    </row>
    <row r="22" spans="2:4" ht="15">
      <c r="B22" s="46" t="s">
        <v>134</v>
      </c>
      <c r="C22" s="47" t="s">
        <v>170</v>
      </c>
      <c r="D22" s="48">
        <f>'Свод 2021'!V8</f>
        <v>52594.86</v>
      </c>
    </row>
    <row r="23" spans="2:4" ht="30">
      <c r="B23" s="46" t="s">
        <v>161</v>
      </c>
      <c r="C23" s="94" t="s">
        <v>138</v>
      </c>
      <c r="D23" s="48">
        <f>'Свод 2021'!AA8+'Свод 2021'!Z8</f>
        <v>31122</v>
      </c>
    </row>
    <row r="24" spans="2:4" ht="28.5" customHeight="1">
      <c r="B24" s="124" t="s">
        <v>141</v>
      </c>
      <c r="C24" s="49" t="s">
        <v>140</v>
      </c>
      <c r="D24" s="207">
        <f>'Свод 2021'!AC8</f>
        <v>2341.6499999999996</v>
      </c>
    </row>
    <row r="25" spans="2:4" ht="28.5" customHeight="1">
      <c r="B25" s="154" t="s">
        <v>142</v>
      </c>
      <c r="C25" s="98" t="s">
        <v>143</v>
      </c>
      <c r="D25" s="207">
        <f>'Свод 2021'!AB8</f>
        <v>1310.4</v>
      </c>
    </row>
    <row r="26" spans="2:4" ht="21.75" customHeight="1">
      <c r="B26" s="200" t="s">
        <v>153</v>
      </c>
      <c r="C26" s="47" t="s">
        <v>59</v>
      </c>
      <c r="D26" s="201">
        <f>'Свод 2021'!AD8</f>
        <v>28828.8</v>
      </c>
    </row>
    <row r="27" spans="2:4" ht="30.75" customHeight="1">
      <c r="B27" s="105" t="s">
        <v>144</v>
      </c>
      <c r="C27" s="164" t="s">
        <v>135</v>
      </c>
      <c r="D27" s="288">
        <f>'Свод 2021'!AE8</f>
        <v>106142.4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2021'!AG8</f>
        <v>47174.4</v>
      </c>
    </row>
    <row r="32" spans="2:4" ht="30">
      <c r="B32" s="148" t="s">
        <v>133</v>
      </c>
      <c r="C32" s="53"/>
      <c r="D32" s="54"/>
    </row>
    <row r="33" spans="2:4" ht="59.25">
      <c r="B33" s="124" t="s">
        <v>179</v>
      </c>
      <c r="C33" s="94" t="s">
        <v>178</v>
      </c>
      <c r="D33" s="89">
        <f>'Свод 2021'!AI8</f>
        <v>101883.6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2021'!AK8</f>
        <v>31122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2021'!AL8</f>
        <v>27518.4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2021'!AM8</f>
        <v>47829.6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2021'!AJ8</f>
        <v>53398.8</v>
      </c>
      <c r="E42" s="22">
        <f>D43-C8-C13</f>
        <v>37516.290000000095</v>
      </c>
    </row>
    <row r="43" spans="2:5" ht="15" thickBot="1">
      <c r="B43" s="227" t="s">
        <v>252</v>
      </c>
      <c r="C43" s="228"/>
      <c r="D43" s="229">
        <f>SUM(D19:D42)</f>
        <v>733723.7100000001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4" bottom="0.21" header="0.18" footer="0.17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354</v>
      </c>
      <c r="C3" s="269"/>
      <c r="D3" s="269"/>
    </row>
    <row r="4" spans="2:5" ht="15.75" thickBot="1">
      <c r="B4" s="57" t="s">
        <v>276</v>
      </c>
      <c r="C4" s="224">
        <f>'Свод 2021'!H62</f>
        <v>2689.4</v>
      </c>
      <c r="D4" s="215">
        <f>'Свод 2021'!J62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2021'!H62</f>
        <v>2689.4</v>
      </c>
      <c r="F5" s="22">
        <f>'Свод 2021'!J62</f>
        <v>21.73</v>
      </c>
    </row>
    <row r="6" spans="2:4" ht="30">
      <c r="B6" s="178" t="s">
        <v>338</v>
      </c>
      <c r="C6" s="277">
        <f>'Свод 2021'!K62</f>
        <v>101945.00000000035</v>
      </c>
      <c r="D6" s="278"/>
    </row>
    <row r="7" spans="2:4" ht="15">
      <c r="B7" s="40" t="s">
        <v>339</v>
      </c>
      <c r="C7" s="266">
        <f>'Свод 2021'!L62</f>
        <v>701288.64</v>
      </c>
      <c r="D7" s="267"/>
    </row>
    <row r="8" spans="2:4" ht="15">
      <c r="B8" s="40" t="s">
        <v>340</v>
      </c>
      <c r="C8" s="266">
        <f>'Свод 2021'!M62</f>
        <v>684251.25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118982.39000000036</v>
      </c>
      <c r="D10" s="280"/>
      <c r="E10" s="22">
        <f>'Свод 2021'!O62</f>
        <v>118982.39000000036</v>
      </c>
      <c r="F10" s="125"/>
    </row>
    <row r="11" spans="2:4" ht="30">
      <c r="B11" s="178" t="s">
        <v>323</v>
      </c>
      <c r="C11" s="266">
        <f>'Свод 2021'!Q62</f>
        <v>2501.87</v>
      </c>
      <c r="D11" s="267"/>
    </row>
    <row r="12" spans="2:4" ht="15">
      <c r="B12" s="40" t="s">
        <v>342</v>
      </c>
      <c r="C12" s="266">
        <f>'Свод 2021'!R62</f>
        <v>7912.040000000001</v>
      </c>
      <c r="D12" s="267"/>
    </row>
    <row r="13" spans="2:4" ht="15">
      <c r="B13" s="40" t="s">
        <v>343</v>
      </c>
      <c r="C13" s="266">
        <f>'Свод 2021'!S62</f>
        <v>10431.99</v>
      </c>
      <c r="D13" s="267"/>
    </row>
    <row r="14" spans="2:6" ht="28.5">
      <c r="B14" s="41" t="s">
        <v>151</v>
      </c>
      <c r="C14" s="279">
        <f>C11+C12-C13</f>
        <v>-18.079999999999927</v>
      </c>
      <c r="D14" s="280"/>
      <c r="E14" s="22">
        <f>'Свод 2021'!T62</f>
        <v>-18.079999999999927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2021'!W62</f>
        <v>197186.81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2021'!U62</f>
        <v>2259.1</v>
      </c>
    </row>
    <row r="22" spans="2:4" ht="15">
      <c r="B22" s="46" t="s">
        <v>134</v>
      </c>
      <c r="C22" s="47" t="s">
        <v>60</v>
      </c>
      <c r="D22" s="48">
        <f>'Свод 2021'!V62</f>
        <v>48977.18</v>
      </c>
    </row>
    <row r="23" spans="2:4" ht="30">
      <c r="B23" s="46" t="s">
        <v>161</v>
      </c>
      <c r="C23" s="94" t="s">
        <v>138</v>
      </c>
      <c r="D23" s="48">
        <f>'Свод 2021'!AA62+'Свод 2021'!Z62</f>
        <v>30659.17</v>
      </c>
    </row>
    <row r="24" spans="2:4" ht="28.5" customHeight="1">
      <c r="B24" s="124" t="s">
        <v>141</v>
      </c>
      <c r="C24" s="49" t="s">
        <v>140</v>
      </c>
      <c r="D24" s="207">
        <f>'Свод 2021'!AC62</f>
        <v>1395.9499999999998</v>
      </c>
    </row>
    <row r="25" spans="2:4" ht="28.5" customHeight="1" thickBot="1">
      <c r="B25" s="154" t="s">
        <v>142</v>
      </c>
      <c r="C25" s="98" t="s">
        <v>143</v>
      </c>
      <c r="D25" s="213">
        <f>'Свод 2021'!AB62</f>
        <v>1290.91</v>
      </c>
    </row>
    <row r="26" spans="2:4" ht="21.75" customHeight="1" thickBot="1">
      <c r="B26" s="99" t="s">
        <v>153</v>
      </c>
      <c r="C26" s="237" t="s">
        <v>59</v>
      </c>
      <c r="D26" s="238">
        <f>'Свод 2021'!AD62</f>
        <v>28400.06</v>
      </c>
    </row>
    <row r="27" spans="2:4" ht="30.75" customHeight="1">
      <c r="B27" s="95" t="s">
        <v>144</v>
      </c>
      <c r="C27" s="150" t="s">
        <v>135</v>
      </c>
      <c r="D27" s="291">
        <f>'Свод 2021'!AE62</f>
        <v>104563.87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2021'!AG62</f>
        <v>46472.83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2021'!AI62</f>
        <v>100728.41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2021'!AK62</f>
        <v>57768.31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2021'!AL62</f>
        <v>27431.88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2021'!AM62</f>
        <v>47118.29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2021'!AJ62</f>
        <v>52604.66</v>
      </c>
      <c r="E42" s="22">
        <f>D43-C8-C13</f>
        <v>52174.19000000017</v>
      </c>
    </row>
    <row r="43" spans="2:4" ht="15" thickBot="1">
      <c r="B43" s="227" t="s">
        <v>252</v>
      </c>
      <c r="C43" s="228"/>
      <c r="D43" s="229">
        <f>SUM(D19:D42)</f>
        <v>746857.4300000002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17" right="0.18" top="0.17" bottom="0.17" header="0.22" footer="0.17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999FF"/>
  </sheetPr>
  <dimension ref="B1:F61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396</v>
      </c>
      <c r="C3" s="269"/>
      <c r="D3" s="269"/>
    </row>
    <row r="4" spans="2:5" ht="15.75" thickBot="1">
      <c r="B4" s="57" t="s">
        <v>277</v>
      </c>
      <c r="C4" s="224">
        <f>'Свод 2021'!H63</f>
        <v>1909.8</v>
      </c>
      <c r="D4" s="215">
        <f>'Свод 2021'!J63</f>
        <v>23.27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2021'!H63</f>
        <v>1909.8</v>
      </c>
      <c r="F5" s="22">
        <f>'Свод 2021'!J63</f>
        <v>23.27</v>
      </c>
    </row>
    <row r="6" spans="2:4" ht="30">
      <c r="B6" s="178" t="s">
        <v>338</v>
      </c>
      <c r="C6" s="277">
        <f>'Свод 2021'!K63</f>
        <v>36269.459999999905</v>
      </c>
      <c r="D6" s="278"/>
    </row>
    <row r="7" spans="2:4" ht="15">
      <c r="B7" s="40" t="s">
        <v>339</v>
      </c>
      <c r="C7" s="266">
        <f>'Свод 2021'!L63</f>
        <v>408891.12</v>
      </c>
      <c r="D7" s="267"/>
    </row>
    <row r="8" spans="2:4" ht="15">
      <c r="B8" s="40" t="s">
        <v>340</v>
      </c>
      <c r="C8" s="266">
        <f>'Свод 2021'!M63</f>
        <v>388834.88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56325.699999999895</v>
      </c>
      <c r="D10" s="280"/>
      <c r="E10" s="22">
        <f>'Свод 2021'!O63</f>
        <v>56325.699999999895</v>
      </c>
      <c r="F10" s="125"/>
    </row>
    <row r="11" spans="2:4" ht="30">
      <c r="B11" s="178" t="s">
        <v>323</v>
      </c>
      <c r="C11" s="266">
        <f>'Свод 2021'!Q63</f>
        <v>1970.33</v>
      </c>
      <c r="D11" s="267"/>
    </row>
    <row r="12" spans="2:4" ht="15">
      <c r="B12" s="40" t="s">
        <v>342</v>
      </c>
      <c r="C12" s="266">
        <f>'Свод 2021'!R63</f>
        <v>89212.56000000001</v>
      </c>
      <c r="D12" s="267"/>
    </row>
    <row r="13" spans="2:4" ht="15">
      <c r="B13" s="40" t="s">
        <v>343</v>
      </c>
      <c r="C13" s="266">
        <f>'Свод 2021'!S63</f>
        <v>91333.86</v>
      </c>
      <c r="D13" s="267"/>
    </row>
    <row r="14" spans="2:6" ht="28.5">
      <c r="B14" s="41" t="s">
        <v>151</v>
      </c>
      <c r="C14" s="279">
        <f>C11+C12-C13</f>
        <v>-150.9699999999866</v>
      </c>
      <c r="D14" s="280"/>
      <c r="E14" s="22">
        <f>'Свод 2021'!T63</f>
        <v>-150.9699999999866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2021'!W63</f>
        <v>140026.54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2021'!U63</f>
        <v>1604.23</v>
      </c>
    </row>
    <row r="22" spans="2:4" ht="15">
      <c r="B22" s="46" t="s">
        <v>134</v>
      </c>
      <c r="C22" s="47" t="s">
        <v>60</v>
      </c>
      <c r="D22" s="48">
        <f>'Свод 2021'!V63</f>
        <v>56889.98</v>
      </c>
    </row>
    <row r="23" spans="2:4" ht="30">
      <c r="B23" s="46" t="s">
        <v>161</v>
      </c>
      <c r="C23" s="94" t="s">
        <v>138</v>
      </c>
      <c r="D23" s="48">
        <f>'Свод 2021'!AA63+'Свод 2021'!Z63</f>
        <v>21771.72</v>
      </c>
    </row>
    <row r="24" spans="2:4" ht="28.5" customHeight="1">
      <c r="B24" s="124" t="s">
        <v>141</v>
      </c>
      <c r="C24" s="49" t="s">
        <v>140</v>
      </c>
      <c r="D24" s="207">
        <f>'Свод 2021'!AC63</f>
        <v>1540.42</v>
      </c>
    </row>
    <row r="25" spans="2:4" ht="28.5" customHeight="1">
      <c r="B25" s="154" t="s">
        <v>142</v>
      </c>
      <c r="C25" s="98" t="s">
        <v>143</v>
      </c>
      <c r="D25" s="213">
        <f>'Свод 2021'!AB63</f>
        <v>916.7</v>
      </c>
    </row>
    <row r="26" spans="2:4" ht="21.75" customHeight="1">
      <c r="B26" s="200" t="s">
        <v>153</v>
      </c>
      <c r="C26" s="47" t="s">
        <v>59</v>
      </c>
      <c r="D26" s="201">
        <f>'Свод 2021'!AD63</f>
        <v>0</v>
      </c>
    </row>
    <row r="27" spans="2:4" ht="30.75" customHeight="1">
      <c r="B27" s="105" t="s">
        <v>144</v>
      </c>
      <c r="C27" s="164" t="s">
        <v>135</v>
      </c>
      <c r="D27" s="288">
        <f>'Свод 2021'!AE63</f>
        <v>74253.02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41" t="s">
        <v>242</v>
      </c>
      <c r="C31" s="94" t="s">
        <v>61</v>
      </c>
      <c r="D31" s="242">
        <f>'Свод 2021'!X63</f>
        <v>55460.59</v>
      </c>
    </row>
    <row r="32" spans="2:4" ht="30">
      <c r="B32" s="175" t="s">
        <v>158</v>
      </c>
      <c r="C32" s="164" t="s">
        <v>166</v>
      </c>
      <c r="D32" s="176">
        <f>'Свод 2021'!AG63</f>
        <v>33001.34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2021'!AI63</f>
        <v>71273.74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2021'!AK63</f>
        <v>41022.5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2021'!AL63</f>
        <v>19479.96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2021'!AM63</f>
        <v>33459.7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2021'!AJ63</f>
        <v>37355.69</v>
      </c>
      <c r="E43" s="22">
        <f>D44-C8-C13</f>
        <v>107887.39000000012</v>
      </c>
    </row>
    <row r="44" spans="2:4" ht="15" thickBot="1">
      <c r="B44" s="227" t="s">
        <v>252</v>
      </c>
      <c r="C44" s="228"/>
      <c r="D44" s="229">
        <f>SUM(D19:D43)</f>
        <v>588056.1300000001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214</v>
      </c>
      <c r="C47" s="274"/>
      <c r="D47" s="274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8" t="s">
        <v>87</v>
      </c>
      <c r="C50" s="268"/>
      <c r="D50" s="268"/>
    </row>
    <row r="51" spans="2:4" ht="20.25">
      <c r="B51" s="268" t="s">
        <v>50</v>
      </c>
      <c r="C51" s="268"/>
      <c r="D51" s="268"/>
    </row>
    <row r="52" spans="2:4" ht="20.25">
      <c r="B52" s="268" t="s">
        <v>49</v>
      </c>
      <c r="C52" s="268"/>
      <c r="D52" s="268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64</v>
      </c>
      <c r="C55" s="102"/>
    </row>
    <row r="61" ht="20.25">
      <c r="B61" s="103"/>
    </row>
  </sheetData>
  <sheetProtection/>
  <mergeCells count="24">
    <mergeCell ref="B52:D52"/>
    <mergeCell ref="D27:D30"/>
    <mergeCell ref="C45:D46"/>
    <mergeCell ref="B47:D47"/>
    <mergeCell ref="B50:D50"/>
    <mergeCell ref="B51:D51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17" bottom="0.21" header="0.17" footer="0.17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397</v>
      </c>
      <c r="C3" s="269"/>
      <c r="D3" s="269"/>
    </row>
    <row r="4" spans="2:5" ht="15.75" thickBot="1">
      <c r="B4" s="57" t="s">
        <v>278</v>
      </c>
      <c r="C4" s="224">
        <f>'Свод 2021'!H64</f>
        <v>2677.3</v>
      </c>
      <c r="D4" s="215">
        <f>'Свод 2021'!J64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2021'!H64</f>
        <v>2677.3</v>
      </c>
      <c r="F5" s="22">
        <f>'Свод 2021'!J64</f>
        <v>21.73</v>
      </c>
    </row>
    <row r="6" spans="2:4" ht="30">
      <c r="B6" s="178" t="s">
        <v>338</v>
      </c>
      <c r="C6" s="277">
        <f>'Свод 2021'!K64</f>
        <v>234151.71999999997</v>
      </c>
      <c r="D6" s="278"/>
    </row>
    <row r="7" spans="2:4" ht="15">
      <c r="B7" s="40" t="s">
        <v>339</v>
      </c>
      <c r="C7" s="266">
        <f>'Свод 2021'!L64</f>
        <v>698132.64</v>
      </c>
      <c r="D7" s="267"/>
    </row>
    <row r="8" spans="2:4" ht="15">
      <c r="B8" s="40" t="s">
        <v>340</v>
      </c>
      <c r="C8" s="266">
        <f>'Свод 2021'!M64</f>
        <v>669050.6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263233.76</v>
      </c>
      <c r="D10" s="280"/>
      <c r="E10" s="22">
        <f>'Свод 2021'!O64</f>
        <v>263233.76</v>
      </c>
      <c r="F10" s="125"/>
    </row>
    <row r="11" spans="2:4" ht="30">
      <c r="B11" s="178" t="s">
        <v>323</v>
      </c>
      <c r="C11" s="266">
        <f>'Свод 2021'!Q64</f>
        <v>2501.87</v>
      </c>
      <c r="D11" s="267"/>
    </row>
    <row r="12" spans="2:4" ht="15">
      <c r="B12" s="40" t="s">
        <v>342</v>
      </c>
      <c r="C12" s="266">
        <f>'Свод 2021'!R64</f>
        <v>7912.040000000001</v>
      </c>
      <c r="D12" s="267"/>
    </row>
    <row r="13" spans="2:4" ht="15">
      <c r="B13" s="40" t="s">
        <v>343</v>
      </c>
      <c r="C13" s="266">
        <f>'Свод 2021'!S64</f>
        <v>10431.99</v>
      </c>
      <c r="D13" s="267"/>
    </row>
    <row r="14" spans="2:6" ht="28.5">
      <c r="B14" s="41" t="s">
        <v>151</v>
      </c>
      <c r="C14" s="279">
        <f>C11+C12-C13</f>
        <v>-18.079999999999927</v>
      </c>
      <c r="D14" s="280"/>
      <c r="E14" s="22">
        <f>'Свод 2021'!T64</f>
        <v>-18.079999999999927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2021'!W64</f>
        <v>196299.64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2021'!U64</f>
        <v>2248.93</v>
      </c>
    </row>
    <row r="22" spans="2:4" ht="15">
      <c r="B22" s="46" t="s">
        <v>134</v>
      </c>
      <c r="C22" s="47" t="s">
        <v>60</v>
      </c>
      <c r="D22" s="48">
        <f>'Свод 2021'!V64</f>
        <v>37046.81</v>
      </c>
    </row>
    <row r="23" spans="2:4" ht="30">
      <c r="B23" s="46" t="s">
        <v>161</v>
      </c>
      <c r="C23" s="94" t="s">
        <v>138</v>
      </c>
      <c r="D23" s="48">
        <f>'Свод 2021'!AA64+'Свод 2021'!Z64</f>
        <v>30521.219999999998</v>
      </c>
    </row>
    <row r="24" spans="2:4" ht="28.5" customHeight="1">
      <c r="B24" s="124" t="s">
        <v>141</v>
      </c>
      <c r="C24" s="49" t="s">
        <v>140</v>
      </c>
      <c r="D24" s="207">
        <f>'Свод 2021'!AC64</f>
        <v>3115.25</v>
      </c>
    </row>
    <row r="25" spans="2:4" ht="28.5" customHeight="1">
      <c r="B25" s="154" t="s">
        <v>142</v>
      </c>
      <c r="C25" s="98" t="s">
        <v>143</v>
      </c>
      <c r="D25" s="213">
        <f>'Свод 2021'!AB64</f>
        <v>1285.1</v>
      </c>
    </row>
    <row r="26" spans="2:4" ht="21.75" customHeight="1">
      <c r="B26" s="200" t="s">
        <v>153</v>
      </c>
      <c r="C26" s="47" t="s">
        <v>59</v>
      </c>
      <c r="D26" s="201">
        <f>'Свод 2021'!AD64</f>
        <v>28272.29</v>
      </c>
    </row>
    <row r="27" spans="2:4" ht="30.75" customHeight="1">
      <c r="B27" s="105" t="s">
        <v>144</v>
      </c>
      <c r="C27" s="164" t="s">
        <v>135</v>
      </c>
      <c r="D27" s="288">
        <f>'Свод 2021'!AE64</f>
        <v>104093.42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2021'!AG64</f>
        <v>46263.74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2021'!AI64</f>
        <v>99916.84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2021'!AK64</f>
        <v>57508.4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2021'!AL64</f>
        <v>27308.46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2021'!AM64</f>
        <v>46906.3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2021'!AJ64</f>
        <v>52367.99</v>
      </c>
      <c r="E42" s="22">
        <f>D43-C8-C13</f>
        <v>53671.79999999992</v>
      </c>
    </row>
    <row r="43" spans="2:4" ht="15" thickBot="1">
      <c r="B43" s="227" t="s">
        <v>252</v>
      </c>
      <c r="C43" s="228"/>
      <c r="D43" s="229">
        <f>SUM(D19:D42)</f>
        <v>733154.3899999999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17" bottom="0.17" header="0.17" footer="0.17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363</v>
      </c>
      <c r="C3" s="269"/>
      <c r="D3" s="269"/>
    </row>
    <row r="4" spans="2:5" ht="15.75" thickBot="1">
      <c r="B4" s="57" t="s">
        <v>165</v>
      </c>
      <c r="C4" s="119" t="s">
        <v>164</v>
      </c>
      <c r="D4" s="214">
        <f>'Свод 2021'!J65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2021'!H65</f>
        <v>2687.5</v>
      </c>
      <c r="F5" s="22">
        <f>'Свод 2021'!J64</f>
        <v>21.73</v>
      </c>
    </row>
    <row r="6" spans="2:4" ht="30">
      <c r="B6" s="178" t="s">
        <v>338</v>
      </c>
      <c r="C6" s="277">
        <f>'Свод 2021'!K65</f>
        <v>225335.1699999997</v>
      </c>
      <c r="D6" s="278"/>
    </row>
    <row r="7" spans="2:4" ht="15">
      <c r="B7" s="40" t="s">
        <v>339</v>
      </c>
      <c r="C7" s="266">
        <f>'Свод 2021'!L65</f>
        <v>700740.84</v>
      </c>
      <c r="D7" s="267"/>
    </row>
    <row r="8" spans="2:4" ht="15">
      <c r="B8" s="40" t="s">
        <v>340</v>
      </c>
      <c r="C8" s="266">
        <f>'Свод 2021'!M65</f>
        <v>751109.31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174966.6999999996</v>
      </c>
      <c r="D10" s="280"/>
      <c r="E10" s="22">
        <f>'Свод 2021'!O65</f>
        <v>174966.6999999996</v>
      </c>
      <c r="F10" s="125"/>
    </row>
    <row r="11" spans="2:4" ht="30">
      <c r="B11" s="178" t="s">
        <v>323</v>
      </c>
      <c r="C11" s="266">
        <f>'Свод 2021'!Q65</f>
        <v>2501.87</v>
      </c>
      <c r="D11" s="267"/>
    </row>
    <row r="12" spans="2:4" ht="15">
      <c r="B12" s="40" t="s">
        <v>342</v>
      </c>
      <c r="C12" s="266">
        <f>'Свод 2021'!R65</f>
        <v>7912.040000000001</v>
      </c>
      <c r="D12" s="267"/>
    </row>
    <row r="13" spans="2:4" ht="15">
      <c r="B13" s="40" t="s">
        <v>343</v>
      </c>
      <c r="C13" s="266">
        <f>'Свод 2021'!S65</f>
        <v>10431.99</v>
      </c>
      <c r="D13" s="267"/>
    </row>
    <row r="14" spans="2:6" ht="28.5">
      <c r="B14" s="41" t="s">
        <v>151</v>
      </c>
      <c r="C14" s="279">
        <f>C11+C12-C13</f>
        <v>-18.079999999999927</v>
      </c>
      <c r="D14" s="280"/>
      <c r="E14" s="22">
        <f>'Свод 2021'!T65</f>
        <v>-18.079999999999927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2021'!W65</f>
        <v>197047.5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2021'!U65</f>
        <v>2257.5</v>
      </c>
    </row>
    <row r="22" spans="2:4" ht="15">
      <c r="B22" s="46" t="s">
        <v>134</v>
      </c>
      <c r="C22" s="47" t="s">
        <v>60</v>
      </c>
      <c r="D22" s="48">
        <f>'Свод 2021'!V65</f>
        <v>86383.14</v>
      </c>
    </row>
    <row r="23" spans="2:4" ht="30">
      <c r="B23" s="46" t="s">
        <v>161</v>
      </c>
      <c r="C23" s="94" t="s">
        <v>138</v>
      </c>
      <c r="D23" s="48">
        <f>'Свод 2021'!AA65+'Свод 2021'!Z65</f>
        <v>30637.5</v>
      </c>
    </row>
    <row r="24" spans="2:4" ht="28.5" customHeight="1">
      <c r="B24" s="124" t="s">
        <v>141</v>
      </c>
      <c r="C24" s="49" t="s">
        <v>140</v>
      </c>
      <c r="D24" s="207">
        <f>'Свод 2021'!AC65</f>
        <v>1539.33</v>
      </c>
    </row>
    <row r="25" spans="2:4" ht="28.5" customHeight="1">
      <c r="B25" s="154" t="s">
        <v>142</v>
      </c>
      <c r="C25" s="98" t="s">
        <v>143</v>
      </c>
      <c r="D25" s="213">
        <f>'Свод 2021'!AB65</f>
        <v>1290</v>
      </c>
    </row>
    <row r="26" spans="2:4" ht="21.75" customHeight="1">
      <c r="B26" s="200" t="s">
        <v>153</v>
      </c>
      <c r="C26" s="47" t="s">
        <v>59</v>
      </c>
      <c r="D26" s="201">
        <f>'Свод 2021'!AD65</f>
        <v>28380</v>
      </c>
    </row>
    <row r="27" spans="2:4" ht="30.75" customHeight="1">
      <c r="B27" s="105" t="s">
        <v>144</v>
      </c>
      <c r="C27" s="164" t="s">
        <v>135</v>
      </c>
      <c r="D27" s="288">
        <f>'Свод 2021'!AE65</f>
        <v>104490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2021'!AG65</f>
        <v>46440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2021'!AI65</f>
        <v>100297.5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2021'!AK65</f>
        <v>57727.5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2021'!AL65</f>
        <v>27412.5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2021'!AM65</f>
        <v>47085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2021'!AJ65</f>
        <v>52567.5</v>
      </c>
      <c r="E42" s="22">
        <f>D43-C8-C13</f>
        <v>22013.66999999992</v>
      </c>
    </row>
    <row r="43" spans="2:4" ht="15" thickBot="1">
      <c r="B43" s="227" t="s">
        <v>279</v>
      </c>
      <c r="C43" s="228"/>
      <c r="D43" s="229">
        <f>SUM(D19:D42)</f>
        <v>783554.97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17" right="0.18" top="0.2" bottom="0.17" header="0.17" footer="0.17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398</v>
      </c>
      <c r="C3" s="269"/>
      <c r="D3" s="269"/>
    </row>
    <row r="4" spans="2:5" ht="15.75" thickBot="1">
      <c r="B4" s="57" t="s">
        <v>280</v>
      </c>
      <c r="C4" s="224">
        <f>'Свод 2021'!H66</f>
        <v>2004.7</v>
      </c>
      <c r="D4" s="215">
        <f>'Свод 2021'!J66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2021'!H66</f>
        <v>2004.7</v>
      </c>
      <c r="F5" s="22">
        <f>'Свод 2021'!J66</f>
        <v>20.88</v>
      </c>
    </row>
    <row r="6" spans="2:4" ht="30">
      <c r="B6" s="178" t="s">
        <v>338</v>
      </c>
      <c r="C6" s="277">
        <f>'Свод 2021'!K66</f>
        <v>90158.08999999997</v>
      </c>
      <c r="D6" s="278"/>
    </row>
    <row r="7" spans="2:4" ht="15">
      <c r="B7" s="40" t="s">
        <v>339</v>
      </c>
      <c r="C7" s="266">
        <f>'Свод 2021'!L66</f>
        <v>501546</v>
      </c>
      <c r="D7" s="267"/>
    </row>
    <row r="8" spans="2:4" ht="15">
      <c r="B8" s="40" t="s">
        <v>340</v>
      </c>
      <c r="C8" s="266">
        <f>'Свод 2021'!M66</f>
        <v>477447.13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114256.95999999996</v>
      </c>
      <c r="D10" s="280"/>
      <c r="E10" s="22">
        <f>'Свод 2021'!O66</f>
        <v>114256.95999999996</v>
      </c>
      <c r="F10" s="125"/>
    </row>
    <row r="11" spans="2:4" ht="30">
      <c r="B11" s="178" t="s">
        <v>323</v>
      </c>
      <c r="C11" s="266">
        <f>'Свод 2021'!Q66</f>
        <v>0</v>
      </c>
      <c r="D11" s="267"/>
    </row>
    <row r="12" spans="2:4" ht="15">
      <c r="B12" s="40" t="s">
        <v>342</v>
      </c>
      <c r="C12" s="266">
        <f>'Свод 2021'!R66</f>
        <v>3537.5</v>
      </c>
      <c r="D12" s="267"/>
    </row>
    <row r="13" spans="2:4" ht="15">
      <c r="B13" s="40" t="s">
        <v>343</v>
      </c>
      <c r="C13" s="266">
        <f>'Свод 2021'!S66</f>
        <v>3187.5</v>
      </c>
      <c r="D13" s="267"/>
    </row>
    <row r="14" spans="2:6" ht="28.5">
      <c r="B14" s="41" t="s">
        <v>151</v>
      </c>
      <c r="C14" s="279">
        <f>C11+C12-C13</f>
        <v>350</v>
      </c>
      <c r="D14" s="280"/>
      <c r="E14" s="22">
        <f>'Свод 2021'!T66</f>
        <v>350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2021'!W66</f>
        <v>146984.6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2021'!U66</f>
        <v>1683.95</v>
      </c>
    </row>
    <row r="22" spans="2:4" ht="15">
      <c r="B22" s="46" t="s">
        <v>134</v>
      </c>
      <c r="C22" s="47" t="s">
        <v>60</v>
      </c>
      <c r="D22" s="48">
        <f>'Свод 2021'!V66</f>
        <v>54077.33</v>
      </c>
    </row>
    <row r="23" spans="2:4" ht="30">
      <c r="B23" s="46" t="s">
        <v>161</v>
      </c>
      <c r="C23" s="94" t="s">
        <v>138</v>
      </c>
      <c r="D23" s="48">
        <f>'Свод 2021'!AA66+'Свод 2021'!Z66</f>
        <v>22853.58</v>
      </c>
    </row>
    <row r="24" spans="2:4" ht="28.5" customHeight="1">
      <c r="B24" s="124" t="s">
        <v>141</v>
      </c>
      <c r="C24" s="49" t="s">
        <v>140</v>
      </c>
      <c r="D24" s="207">
        <f>'Свод 2021'!AC66</f>
        <v>2303.71</v>
      </c>
    </row>
    <row r="25" spans="2:4" ht="28.5" customHeight="1">
      <c r="B25" s="154" t="s">
        <v>142</v>
      </c>
      <c r="C25" s="98" t="s">
        <v>143</v>
      </c>
      <c r="D25" s="213">
        <f>'Свод 2021'!AB66</f>
        <v>962.26</v>
      </c>
    </row>
    <row r="26" spans="2:4" ht="21.75" customHeight="1">
      <c r="B26" s="200" t="s">
        <v>153</v>
      </c>
      <c r="C26" s="47" t="s">
        <v>59</v>
      </c>
      <c r="D26" s="201">
        <f>'Свод 2021'!AD66</f>
        <v>21169.63</v>
      </c>
    </row>
    <row r="27" spans="2:4" ht="30.75" customHeight="1">
      <c r="B27" s="105" t="s">
        <v>144</v>
      </c>
      <c r="C27" s="164" t="s">
        <v>135</v>
      </c>
      <c r="D27" s="288">
        <f>'Свод 2021'!AE66</f>
        <v>77942.74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2021'!AG66</f>
        <v>34641.22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2021'!AI66</f>
        <v>82615.4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2021'!AK66</f>
        <v>22853.58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2021'!AL66</f>
        <v>20207.38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2021'!AM66</f>
        <v>35122.34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2021'!AJ66</f>
        <v>39211.93</v>
      </c>
      <c r="E42" s="22">
        <f>D43-C8-C13</f>
        <v>81995.02000000014</v>
      </c>
    </row>
    <row r="43" spans="2:4" ht="15" thickBot="1">
      <c r="B43" s="227" t="s">
        <v>252</v>
      </c>
      <c r="C43" s="228"/>
      <c r="D43" s="229">
        <f>SUM(D19:D42)</f>
        <v>562629.6500000001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4" right="0.24" top="0.17" bottom="0.23" header="0.17" footer="0.17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399</v>
      </c>
      <c r="C3" s="269"/>
      <c r="D3" s="269"/>
    </row>
    <row r="4" spans="2:5" ht="15.75" thickBot="1">
      <c r="B4" s="57" t="s">
        <v>281</v>
      </c>
      <c r="C4" s="224">
        <f>'Свод 2021'!H67</f>
        <v>5334.9</v>
      </c>
      <c r="D4" s="215">
        <f>'Свод 2021'!J67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2021'!H67</f>
        <v>5334.9</v>
      </c>
      <c r="F5" s="22">
        <f>'Свод 2021'!J66</f>
        <v>20.88</v>
      </c>
    </row>
    <row r="6" spans="2:4" ht="30">
      <c r="B6" s="178" t="s">
        <v>338</v>
      </c>
      <c r="C6" s="277">
        <f>'Свод 2021'!K67</f>
        <v>309171.97</v>
      </c>
      <c r="D6" s="278"/>
    </row>
    <row r="7" spans="2:4" ht="15">
      <c r="B7" s="40" t="s">
        <v>339</v>
      </c>
      <c r="C7" s="266">
        <f>'Свод 2021'!L67</f>
        <v>1333405.08</v>
      </c>
      <c r="D7" s="267"/>
    </row>
    <row r="8" spans="2:4" ht="15">
      <c r="B8" s="40" t="s">
        <v>340</v>
      </c>
      <c r="C8" s="266">
        <f>'Свод 2021'!M67</f>
        <v>1216815.59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425761.45999999996</v>
      </c>
      <c r="D10" s="280"/>
      <c r="E10" s="22">
        <f>'Свод 2021'!O67</f>
        <v>425761.45999999996</v>
      </c>
      <c r="F10" s="125"/>
    </row>
    <row r="11" spans="2:4" ht="30">
      <c r="B11" s="178" t="s">
        <v>323</v>
      </c>
      <c r="C11" s="266">
        <f>'Свод 2021'!Q67</f>
        <v>3699.41</v>
      </c>
      <c r="D11" s="267"/>
    </row>
    <row r="12" spans="2:4" ht="15">
      <c r="B12" s="40" t="s">
        <v>342</v>
      </c>
      <c r="C12" s="266">
        <f>'Свод 2021'!R67</f>
        <v>38505.11</v>
      </c>
      <c r="D12" s="267"/>
    </row>
    <row r="13" spans="2:4" ht="15">
      <c r="B13" s="40" t="s">
        <v>343</v>
      </c>
      <c r="C13" s="266">
        <f>'Свод 2021'!S67</f>
        <v>41923.21</v>
      </c>
      <c r="D13" s="267"/>
    </row>
    <row r="14" spans="2:6" ht="28.5">
      <c r="B14" s="41" t="s">
        <v>151</v>
      </c>
      <c r="C14" s="279">
        <f>C11+C12-C13</f>
        <v>281.31000000000495</v>
      </c>
      <c r="D14" s="280"/>
      <c r="E14" s="22">
        <f>'Свод 2021'!T67</f>
        <v>281.31000000000495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2021'!W67</f>
        <v>391154.87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2021'!U67</f>
        <v>4481.32</v>
      </c>
    </row>
    <row r="22" spans="2:4" ht="15">
      <c r="B22" s="46" t="s">
        <v>134</v>
      </c>
      <c r="C22" s="47" t="s">
        <v>60</v>
      </c>
      <c r="D22" s="48">
        <f>'Свод 2021'!V67</f>
        <v>48525.020000000004</v>
      </c>
    </row>
    <row r="23" spans="2:4" ht="30">
      <c r="B23" s="46" t="s">
        <v>161</v>
      </c>
      <c r="C23" s="94" t="s">
        <v>138</v>
      </c>
      <c r="D23" s="48">
        <f>'Свод 2021'!AA67+'Свод 2021'!Z67</f>
        <v>60817.87</v>
      </c>
    </row>
    <row r="24" spans="2:4" ht="28.5" customHeight="1">
      <c r="B24" s="124" t="s">
        <v>141</v>
      </c>
      <c r="C24" s="49" t="s">
        <v>140</v>
      </c>
      <c r="D24" s="207">
        <f>'Свод 2021'!AC67</f>
        <v>2774.92</v>
      </c>
    </row>
    <row r="25" spans="2:4" ht="28.5" customHeight="1">
      <c r="B25" s="154" t="s">
        <v>142</v>
      </c>
      <c r="C25" s="98" t="s">
        <v>143</v>
      </c>
      <c r="D25" s="213">
        <f>'Свод 2021'!AB67</f>
        <v>2560.75</v>
      </c>
    </row>
    <row r="26" spans="2:4" ht="21.75" customHeight="1">
      <c r="B26" s="200" t="s">
        <v>153</v>
      </c>
      <c r="C26" s="47" t="s">
        <v>59</v>
      </c>
      <c r="D26" s="201">
        <f>'Свод 2021'!AD67</f>
        <v>56336.54</v>
      </c>
    </row>
    <row r="27" spans="2:4" ht="30.75" customHeight="1">
      <c r="B27" s="105" t="s">
        <v>144</v>
      </c>
      <c r="C27" s="164" t="s">
        <v>135</v>
      </c>
      <c r="D27" s="288">
        <f>'Свод 2021'!AE67</f>
        <v>207420.91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2021'!AG67</f>
        <v>92187.07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2021'!AI67</f>
        <v>199098.47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2021'!AK67</f>
        <v>60817.86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2021'!AL67</f>
        <v>53775.79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2021'!AM67</f>
        <v>93467.45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2021'!AJ67</f>
        <v>104350.64</v>
      </c>
      <c r="E42" s="22">
        <f>D43-C8-C13</f>
        <v>119030.6799999999</v>
      </c>
    </row>
    <row r="43" spans="2:4" ht="15" thickBot="1">
      <c r="B43" s="227" t="s">
        <v>252</v>
      </c>
      <c r="C43" s="228"/>
      <c r="D43" s="229">
        <f>SUM(D19:D42)</f>
        <v>1377769.48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17" right="0.19" top="0.17" bottom="0.25" header="0.17" footer="0.17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400</v>
      </c>
      <c r="C3" s="269"/>
      <c r="D3" s="269"/>
    </row>
    <row r="4" spans="2:5" ht="15.75" thickBot="1">
      <c r="B4" s="57" t="s">
        <v>282</v>
      </c>
      <c r="C4" s="224">
        <f>'Свод 2021'!H68</f>
        <v>2213.5</v>
      </c>
      <c r="D4" s="215">
        <f>'Свод 2021'!J68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2021'!H68</f>
        <v>2213.5</v>
      </c>
      <c r="F5" s="22">
        <f>'Свод 2021'!J66</f>
        <v>20.88</v>
      </c>
    </row>
    <row r="6" spans="2:4" ht="30">
      <c r="B6" s="178" t="s">
        <v>338</v>
      </c>
      <c r="C6" s="277">
        <f>'Свод 2021'!K68</f>
        <v>99804.92999999979</v>
      </c>
      <c r="D6" s="278"/>
    </row>
    <row r="7" spans="2:4" ht="15">
      <c r="B7" s="40" t="s">
        <v>339</v>
      </c>
      <c r="C7" s="266">
        <f>'Свод 2021'!L68</f>
        <v>555617.16</v>
      </c>
      <c r="D7" s="267"/>
    </row>
    <row r="8" spans="2:4" ht="15">
      <c r="B8" s="40" t="s">
        <v>340</v>
      </c>
      <c r="C8" s="266">
        <f>'Свод 2021'!M68</f>
        <v>570406.92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85015.16999999981</v>
      </c>
      <c r="D10" s="280"/>
      <c r="E10" s="22">
        <f>'Свод 2021'!O68</f>
        <v>85015.16999999981</v>
      </c>
      <c r="F10" s="125"/>
    </row>
    <row r="11" spans="2:4" ht="30">
      <c r="B11" s="178" t="s">
        <v>323</v>
      </c>
      <c r="C11" s="266">
        <f>'Свод 2021'!Q68</f>
        <v>0</v>
      </c>
      <c r="D11" s="267"/>
    </row>
    <row r="12" spans="2:4" ht="15">
      <c r="B12" s="40" t="s">
        <v>342</v>
      </c>
      <c r="C12" s="266">
        <f>'Свод 2021'!R68</f>
        <v>3537.5</v>
      </c>
      <c r="D12" s="267"/>
    </row>
    <row r="13" spans="2:4" ht="15">
      <c r="B13" s="40" t="s">
        <v>343</v>
      </c>
      <c r="C13" s="266">
        <f>'Свод 2021'!S68</f>
        <v>3187.5</v>
      </c>
      <c r="D13" s="267"/>
    </row>
    <row r="14" spans="2:6" ht="28.5">
      <c r="B14" s="41" t="s">
        <v>151</v>
      </c>
      <c r="C14" s="279">
        <f>C11+C12-C13</f>
        <v>350</v>
      </c>
      <c r="D14" s="280"/>
      <c r="E14" s="22">
        <f>'Свод 2021'!T68</f>
        <v>350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2021'!W68</f>
        <v>162550.44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2021'!U68</f>
        <v>1862.28</v>
      </c>
    </row>
    <row r="22" spans="2:4" ht="15">
      <c r="B22" s="46" t="s">
        <v>134</v>
      </c>
      <c r="C22" s="47" t="s">
        <v>60</v>
      </c>
      <c r="D22" s="48">
        <f>'Свод 2021'!V68</f>
        <v>59784.24</v>
      </c>
    </row>
    <row r="23" spans="2:4" ht="30">
      <c r="B23" s="46" t="s">
        <v>161</v>
      </c>
      <c r="C23" s="94" t="s">
        <v>138</v>
      </c>
      <c r="D23" s="48">
        <f>'Свод 2021'!AA68+'Свод 2021'!Z68</f>
        <v>25273.8</v>
      </c>
    </row>
    <row r="24" spans="2:4" ht="28.5" customHeight="1">
      <c r="B24" s="124" t="s">
        <v>141</v>
      </c>
      <c r="C24" s="49" t="s">
        <v>140</v>
      </c>
      <c r="D24" s="207">
        <f>'Свод 2021'!AC68</f>
        <v>1329.08</v>
      </c>
    </row>
    <row r="25" spans="2:4" ht="28.5" customHeight="1">
      <c r="B25" s="154" t="s">
        <v>142</v>
      </c>
      <c r="C25" s="98" t="s">
        <v>143</v>
      </c>
      <c r="D25" s="213">
        <f>'Свод 2021'!AB68</f>
        <v>1064.16</v>
      </c>
    </row>
    <row r="26" spans="2:4" ht="21.75" customHeight="1">
      <c r="B26" s="200" t="s">
        <v>153</v>
      </c>
      <c r="C26" s="47" t="s">
        <v>59</v>
      </c>
      <c r="D26" s="201">
        <f>'Свод 2021'!AD68</f>
        <v>23411.52</v>
      </c>
    </row>
    <row r="27" spans="2:4" ht="30.75" customHeight="1">
      <c r="B27" s="105" t="s">
        <v>144</v>
      </c>
      <c r="C27" s="164" t="s">
        <v>135</v>
      </c>
      <c r="D27" s="288">
        <f>'Свод 2021'!AE68</f>
        <v>86196.96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2021'!AG68</f>
        <v>38309.76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2021'!AI68</f>
        <v>82738.44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2021'!AK68</f>
        <v>25273.8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2021'!AL68</f>
        <v>22347.36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2021'!AM68</f>
        <v>38841.84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2021'!AJ68</f>
        <v>43364.52</v>
      </c>
      <c r="E42" s="22">
        <f>D43-C8-C13</f>
        <v>38753.77999999991</v>
      </c>
    </row>
    <row r="43" spans="2:4" ht="15" thickBot="1">
      <c r="B43" s="227" t="s">
        <v>252</v>
      </c>
      <c r="C43" s="228"/>
      <c r="D43" s="229">
        <f>SUM(D19:D42)</f>
        <v>612348.2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23" header="0.2" footer="0.17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353</v>
      </c>
      <c r="C3" s="269"/>
      <c r="D3" s="269"/>
    </row>
    <row r="4" spans="2:5" ht="15.75" thickBot="1">
      <c r="B4" s="57" t="s">
        <v>283</v>
      </c>
      <c r="C4" s="224">
        <f>'Свод 2021'!H69</f>
        <v>2719.9</v>
      </c>
      <c r="D4" s="214">
        <f>'Свод 2021'!J69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2021'!H69</f>
        <v>2719.9</v>
      </c>
      <c r="F5" s="22">
        <f>'Свод 2021'!J69</f>
        <v>21.73</v>
      </c>
    </row>
    <row r="6" spans="2:4" ht="30">
      <c r="B6" s="178" t="s">
        <v>338</v>
      </c>
      <c r="C6" s="277">
        <f>'Свод 2021'!K69</f>
        <v>162733.92999999993</v>
      </c>
      <c r="D6" s="278"/>
    </row>
    <row r="7" spans="2:4" ht="15">
      <c r="B7" s="40" t="s">
        <v>401</v>
      </c>
      <c r="C7" s="266">
        <f>'Свод 2021'!L69</f>
        <v>685201.33</v>
      </c>
      <c r="D7" s="267"/>
    </row>
    <row r="8" spans="2:4" ht="15">
      <c r="B8" s="40" t="s">
        <v>340</v>
      </c>
      <c r="C8" s="266">
        <f>'Свод 2021'!M69</f>
        <v>662256.95</v>
      </c>
      <c r="D8" s="267"/>
    </row>
    <row r="9" spans="2:4" ht="15">
      <c r="B9" s="40" t="s">
        <v>127</v>
      </c>
      <c r="C9" s="266">
        <f>'Свод 2021'!N54</f>
        <v>0</v>
      </c>
      <c r="D9" s="267"/>
    </row>
    <row r="10" spans="2:6" ht="28.5">
      <c r="B10" s="41" t="s">
        <v>147</v>
      </c>
      <c r="C10" s="279">
        <f>C6+C7-C8+C9</f>
        <v>185678.30999999994</v>
      </c>
      <c r="D10" s="280"/>
      <c r="E10" s="22">
        <f>'Свод 2021'!O69</f>
        <v>185678.30999999994</v>
      </c>
      <c r="F10" s="125"/>
    </row>
    <row r="11" spans="2:4" ht="30">
      <c r="B11" s="178" t="s">
        <v>323</v>
      </c>
      <c r="C11" s="266">
        <f>'Свод 2021'!Q69</f>
        <v>0</v>
      </c>
      <c r="D11" s="267"/>
    </row>
    <row r="12" spans="2:4" ht="15">
      <c r="B12" s="40" t="s">
        <v>342</v>
      </c>
      <c r="C12" s="266">
        <f>'Свод 2021'!R69</f>
        <v>32281.68</v>
      </c>
      <c r="D12" s="267"/>
    </row>
    <row r="13" spans="2:4" ht="15">
      <c r="B13" s="40" t="s">
        <v>343</v>
      </c>
      <c r="C13" s="266">
        <f>'Свод 2021'!S69</f>
        <v>32281.68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2021'!T69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2021'!W69</f>
        <v>199423.07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2021'!U69</f>
        <v>2284.72</v>
      </c>
    </row>
    <row r="22" spans="2:4" ht="15">
      <c r="B22" s="46" t="s">
        <v>134</v>
      </c>
      <c r="C22" s="47" t="s">
        <v>60</v>
      </c>
      <c r="D22" s="48">
        <f>'Свод 2021'!V69</f>
        <v>52298.81</v>
      </c>
    </row>
    <row r="23" spans="2:4" ht="30">
      <c r="B23" s="46" t="s">
        <v>161</v>
      </c>
      <c r="C23" s="94" t="s">
        <v>138</v>
      </c>
      <c r="D23" s="48">
        <f>'Свод 2021'!AA69+'Свод 2021'!Z69</f>
        <v>31006.87</v>
      </c>
    </row>
    <row r="24" spans="2:4" ht="28.5" customHeight="1">
      <c r="B24" s="124" t="s">
        <v>141</v>
      </c>
      <c r="C24" s="49" t="s">
        <v>140</v>
      </c>
      <c r="D24" s="207">
        <f>'Свод 2021'!AC69</f>
        <v>3000.02</v>
      </c>
    </row>
    <row r="25" spans="2:4" ht="28.5" customHeight="1">
      <c r="B25" s="154" t="s">
        <v>142</v>
      </c>
      <c r="C25" s="98" t="s">
        <v>143</v>
      </c>
      <c r="D25" s="213">
        <f>'Свод 2021'!AB69</f>
        <v>1305.55</v>
      </c>
    </row>
    <row r="26" spans="2:4" ht="21.75" customHeight="1">
      <c r="B26" s="200" t="s">
        <v>153</v>
      </c>
      <c r="C26" s="47" t="s">
        <v>59</v>
      </c>
      <c r="D26" s="201">
        <f>'Свод 2021'!AD69</f>
        <v>28722.14</v>
      </c>
    </row>
    <row r="27" spans="2:4" ht="30.75" customHeight="1">
      <c r="B27" s="105" t="s">
        <v>144</v>
      </c>
      <c r="C27" s="164" t="s">
        <v>135</v>
      </c>
      <c r="D27" s="288">
        <f>'Свод 2021'!AE69</f>
        <v>105749.71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2021'!AG69</f>
        <v>46999.87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2021'!AI69</f>
        <v>101506.67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2021'!AK69</f>
        <v>58423.45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2021'!AL69</f>
        <v>27742.98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2021'!AM69</f>
        <v>47652.65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2021'!AJ69</f>
        <v>53201.24</v>
      </c>
      <c r="E42" s="22">
        <f>D43-C8-C13</f>
        <v>64779.120000000046</v>
      </c>
    </row>
    <row r="43" spans="2:4" ht="15" thickBot="1">
      <c r="B43" s="227" t="s">
        <v>252</v>
      </c>
      <c r="C43" s="228"/>
      <c r="D43" s="229">
        <f>SUM(D19:D42)</f>
        <v>759317.75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363</v>
      </c>
      <c r="C3" s="269"/>
      <c r="D3" s="269"/>
    </row>
    <row r="4" spans="2:5" ht="15.75" thickBot="1">
      <c r="B4" s="57" t="s">
        <v>284</v>
      </c>
      <c r="C4" s="224">
        <f>'Свод 2021'!H70</f>
        <v>3729.5</v>
      </c>
      <c r="D4" s="214">
        <f>'Свод 2021'!J70</f>
        <v>25.92</v>
      </c>
      <c r="E4" s="22"/>
    </row>
    <row r="5" spans="2:6" ht="31.5" customHeight="1" thickBot="1">
      <c r="B5" s="36" t="s">
        <v>54</v>
      </c>
      <c r="C5" s="275" t="s">
        <v>150</v>
      </c>
      <c r="D5" s="290"/>
      <c r="E5" s="22">
        <f>'Свод 2021'!H70</f>
        <v>3729.5</v>
      </c>
      <c r="F5" s="22">
        <f>'Свод 2021'!J70</f>
        <v>25.92</v>
      </c>
    </row>
    <row r="6" spans="2:4" ht="30">
      <c r="B6" s="178" t="s">
        <v>338</v>
      </c>
      <c r="C6" s="277">
        <f>'Свод 2021'!K70</f>
        <v>215588.8899999999</v>
      </c>
      <c r="D6" s="278"/>
    </row>
    <row r="7" spans="2:4" ht="15">
      <c r="B7" s="40" t="s">
        <v>339</v>
      </c>
      <c r="C7" s="266">
        <f>'Свод 2021'!L70</f>
        <v>1160023.68</v>
      </c>
      <c r="D7" s="267"/>
    </row>
    <row r="8" spans="2:4" ht="15">
      <c r="B8" s="40" t="s">
        <v>340</v>
      </c>
      <c r="C8" s="266">
        <f>'Свод 2021'!M70</f>
        <v>1126874.18</v>
      </c>
      <c r="D8" s="267"/>
    </row>
    <row r="9" spans="2:4" ht="15">
      <c r="B9" s="40" t="s">
        <v>127</v>
      </c>
      <c r="C9" s="266">
        <f>'Свод 2021'!N70</f>
        <v>0</v>
      </c>
      <c r="D9" s="267"/>
    </row>
    <row r="10" spans="2:6" ht="28.5">
      <c r="B10" s="41" t="s">
        <v>147</v>
      </c>
      <c r="C10" s="279">
        <f>C6+C7-C8+C9</f>
        <v>248738.3899999999</v>
      </c>
      <c r="D10" s="280"/>
      <c r="E10" s="22">
        <f>'Свод 2021'!O70</f>
        <v>248738.3899999999</v>
      </c>
      <c r="F10" s="125"/>
    </row>
    <row r="11" spans="2:4" ht="30">
      <c r="B11" s="178" t="s">
        <v>323</v>
      </c>
      <c r="C11" s="266">
        <f>'Свод 2021'!Q70</f>
        <v>0</v>
      </c>
      <c r="D11" s="267"/>
    </row>
    <row r="12" spans="2:4" ht="15">
      <c r="B12" s="40" t="s">
        <v>342</v>
      </c>
      <c r="C12" s="266">
        <f>'Свод 2021'!R70</f>
        <v>0</v>
      </c>
      <c r="D12" s="267"/>
    </row>
    <row r="13" spans="2:4" ht="15">
      <c r="B13" s="40" t="s">
        <v>343</v>
      </c>
      <c r="C13" s="266">
        <f>'Свод 2021'!S70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2021'!T70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2021'!W70</f>
        <v>186624.18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2021'!U70</f>
        <v>3132.78</v>
      </c>
    </row>
    <row r="22" spans="2:4" ht="15">
      <c r="B22" s="46" t="s">
        <v>134</v>
      </c>
      <c r="C22" s="47" t="s">
        <v>60</v>
      </c>
      <c r="D22" s="48">
        <f>'Свод 2021'!V70</f>
        <v>6666.700000000001</v>
      </c>
    </row>
    <row r="23" spans="2:4" ht="30">
      <c r="B23" s="46" t="s">
        <v>161</v>
      </c>
      <c r="C23" s="94" t="s">
        <v>138</v>
      </c>
      <c r="D23" s="48">
        <f>'Свод 2021'!AA70+'Свод 2021'!Z70</f>
        <v>42516.3</v>
      </c>
    </row>
    <row r="24" spans="2:4" ht="28.5" customHeight="1">
      <c r="B24" s="124" t="s">
        <v>141</v>
      </c>
      <c r="C24" s="49" t="s">
        <v>140</v>
      </c>
      <c r="D24" s="207">
        <f>'Свод 2021'!AC70</f>
        <v>1342.62</v>
      </c>
    </row>
    <row r="25" spans="2:4" ht="28.5" customHeight="1">
      <c r="B25" s="154" t="s">
        <v>142</v>
      </c>
      <c r="C25" s="98" t="s">
        <v>143</v>
      </c>
      <c r="D25" s="213">
        <f>'Свод 2021'!AB70</f>
        <v>1790.16</v>
      </c>
    </row>
    <row r="26" spans="2:4" ht="21.75" customHeight="1">
      <c r="B26" s="200" t="s">
        <v>153</v>
      </c>
      <c r="C26" s="47" t="s">
        <v>59</v>
      </c>
      <c r="D26" s="201">
        <f>'Свод 2021'!AD70</f>
        <v>39383.52</v>
      </c>
    </row>
    <row r="27" spans="2:4" ht="30.75" customHeight="1">
      <c r="B27" s="105" t="s">
        <v>144</v>
      </c>
      <c r="C27" s="164" t="s">
        <v>135</v>
      </c>
      <c r="D27" s="288">
        <f>'Свод 2021'!AE70</f>
        <v>145002.96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00" t="s">
        <v>285</v>
      </c>
      <c r="C31" s="164" t="s">
        <v>166</v>
      </c>
      <c r="D31" s="207">
        <f>'Свод 2021'!Y70</f>
        <v>341096.02</v>
      </c>
    </row>
    <row r="32" spans="2:4" ht="30">
      <c r="B32" s="175" t="s">
        <v>158</v>
      </c>
      <c r="C32" s="164" t="s">
        <v>166</v>
      </c>
      <c r="D32" s="176">
        <f>'Свод 2021'!AG70</f>
        <v>64445.76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2021'!AI70</f>
        <v>94430.94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2021'!AK70</f>
        <v>80109.66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2021'!AL70</f>
        <v>38040.9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2021'!AM70</f>
        <v>65340.84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2021'!AJ70</f>
        <v>72949.02</v>
      </c>
      <c r="E43" s="22">
        <f>D44-C8-C13</f>
        <v>55998.18000000017</v>
      </c>
    </row>
    <row r="44" spans="2:4" ht="15" thickBot="1">
      <c r="B44" s="227" t="s">
        <v>252</v>
      </c>
      <c r="C44" s="228"/>
      <c r="D44" s="229">
        <f>SUM(D19:D43)</f>
        <v>1182872.36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3" ht="15.75">
      <c r="B53" s="102" t="s">
        <v>64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353</v>
      </c>
      <c r="C3" s="269"/>
      <c r="D3" s="269"/>
    </row>
    <row r="4" spans="2:5" ht="15.75" thickBot="1">
      <c r="B4" s="57" t="s">
        <v>286</v>
      </c>
      <c r="C4" s="224">
        <f>'Свод 2021'!H71</f>
        <v>4752.5</v>
      </c>
      <c r="D4" s="215">
        <f>'Свод 2021'!J71</f>
        <v>25.92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2021'!H71</f>
        <v>4752.5</v>
      </c>
      <c r="F5" s="22">
        <f>'Свод 2021'!J70</f>
        <v>25.92</v>
      </c>
    </row>
    <row r="6" spans="2:4" ht="30">
      <c r="B6" s="178" t="s">
        <v>338</v>
      </c>
      <c r="C6" s="277">
        <f>'Свод 2021'!K71</f>
        <v>411864.3799999999</v>
      </c>
      <c r="D6" s="278"/>
    </row>
    <row r="7" spans="2:4" ht="15">
      <c r="B7" s="40" t="s">
        <v>401</v>
      </c>
      <c r="C7" s="266">
        <f>'Свод 2021'!L71</f>
        <v>1321359.48</v>
      </c>
      <c r="D7" s="267"/>
    </row>
    <row r="8" spans="2:4" ht="15">
      <c r="B8" s="40" t="s">
        <v>340</v>
      </c>
      <c r="C8" s="266">
        <f>'Свод 2021'!M71</f>
        <v>1343033.93</v>
      </c>
      <c r="D8" s="267"/>
    </row>
    <row r="9" spans="2:4" ht="15">
      <c r="B9" s="40" t="s">
        <v>127</v>
      </c>
      <c r="C9" s="266">
        <f>'Свод 2021'!N71</f>
        <v>0</v>
      </c>
      <c r="D9" s="267"/>
    </row>
    <row r="10" spans="2:6" ht="28.5">
      <c r="B10" s="41" t="s">
        <v>147</v>
      </c>
      <c r="C10" s="279">
        <f>C6+C7-C8+C9</f>
        <v>390189.92999999993</v>
      </c>
      <c r="D10" s="280"/>
      <c r="E10" s="22">
        <f>'Свод 2021'!O71</f>
        <v>390189.92999999993</v>
      </c>
      <c r="F10" s="125"/>
    </row>
    <row r="11" spans="2:4" ht="30">
      <c r="B11" s="178" t="s">
        <v>323</v>
      </c>
      <c r="C11" s="266">
        <f>'Свод 2021'!Q71</f>
        <v>24990.670000000002</v>
      </c>
      <c r="D11" s="267"/>
    </row>
    <row r="12" spans="2:4" ht="15">
      <c r="B12" s="40" t="s">
        <v>342</v>
      </c>
      <c r="C12" s="266">
        <f>'Свод 2021'!R71</f>
        <v>196545.29</v>
      </c>
      <c r="D12" s="267"/>
    </row>
    <row r="13" spans="2:4" ht="15">
      <c r="B13" s="40" t="s">
        <v>343</v>
      </c>
      <c r="C13" s="266">
        <f>'Свод 2021'!S71</f>
        <v>160450.93</v>
      </c>
      <c r="D13" s="267"/>
    </row>
    <row r="14" spans="2:6" ht="28.5">
      <c r="B14" s="41" t="s">
        <v>151</v>
      </c>
      <c r="C14" s="279">
        <f>C11+C12-C13</f>
        <v>61085.03000000003</v>
      </c>
      <c r="D14" s="280"/>
      <c r="E14" s="22">
        <f>'Свод 2021'!T71</f>
        <v>61085.03000000003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2021'!W71</f>
        <v>237815.1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2021'!U71</f>
        <v>3992.1</v>
      </c>
    </row>
    <row r="22" spans="2:4" ht="15">
      <c r="B22" s="46" t="s">
        <v>134</v>
      </c>
      <c r="C22" s="47" t="s">
        <v>60</v>
      </c>
      <c r="D22" s="48">
        <f>'Свод 2021'!V71</f>
        <v>8262.58</v>
      </c>
    </row>
    <row r="23" spans="2:4" ht="30">
      <c r="B23" s="46" t="s">
        <v>161</v>
      </c>
      <c r="C23" s="94" t="s">
        <v>138</v>
      </c>
      <c r="D23" s="48">
        <f>'Свод 2021'!AA71+'Свод 2021'!Z71</f>
        <v>54178.5</v>
      </c>
    </row>
    <row r="24" spans="2:4" ht="28.5" customHeight="1">
      <c r="B24" s="124" t="s">
        <v>141</v>
      </c>
      <c r="C24" s="49" t="s">
        <v>140</v>
      </c>
      <c r="D24" s="207">
        <f>'Свод 2021'!AC71</f>
        <v>1710.9</v>
      </c>
    </row>
    <row r="25" spans="2:4" ht="28.5" customHeight="1">
      <c r="B25" s="154" t="s">
        <v>142</v>
      </c>
      <c r="C25" s="98" t="s">
        <v>143</v>
      </c>
      <c r="D25" s="213">
        <f>'Свод 2021'!AB71</f>
        <v>2281.2</v>
      </c>
    </row>
    <row r="26" spans="2:4" ht="21.75" customHeight="1">
      <c r="B26" s="200" t="s">
        <v>153</v>
      </c>
      <c r="C26" s="47" t="s">
        <v>59</v>
      </c>
      <c r="D26" s="201">
        <f>'Свод 2021'!AD71</f>
        <v>50186.4</v>
      </c>
    </row>
    <row r="27" spans="2:4" ht="30.75" customHeight="1">
      <c r="B27" s="105" t="s">
        <v>144</v>
      </c>
      <c r="C27" s="164" t="s">
        <v>135</v>
      </c>
      <c r="D27" s="288">
        <f>'Свод 2021'!AE71</f>
        <v>184777.2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00" t="s">
        <v>191</v>
      </c>
      <c r="C31" s="164" t="s">
        <v>166</v>
      </c>
      <c r="D31" s="207">
        <f>'Свод 2021'!Y71</f>
        <v>428623.9</v>
      </c>
    </row>
    <row r="32" spans="2:4" ht="30">
      <c r="B32" s="175" t="s">
        <v>158</v>
      </c>
      <c r="C32" s="164" t="s">
        <v>166</v>
      </c>
      <c r="D32" s="176">
        <f>'Свод 2021'!AG71</f>
        <v>82123.2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2021'!AI71</f>
        <v>120333.3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2021'!AK71</f>
        <v>102083.7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2021'!AL71</f>
        <v>58475.5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2021'!AM71</f>
        <v>83263.8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2021'!AJ71</f>
        <v>92958.9</v>
      </c>
      <c r="E43" s="22">
        <f>D44-C8-C13</f>
        <v>7581.4200000001</v>
      </c>
    </row>
    <row r="44" spans="2:4" ht="15" thickBot="1">
      <c r="B44" s="227" t="s">
        <v>252</v>
      </c>
      <c r="C44" s="228"/>
      <c r="D44" s="229">
        <f>SUM(D19:D43)</f>
        <v>1511066.28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3" ht="15.75">
      <c r="B53" s="102" t="s">
        <v>64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29">
      <selection activeCell="C19" sqref="C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 customHeight="1">
      <c r="B3" s="216" t="s">
        <v>349</v>
      </c>
      <c r="C3" s="217"/>
      <c r="D3" s="217"/>
    </row>
    <row r="4" spans="2:5" ht="15.75" thickBot="1">
      <c r="B4" s="57" t="s">
        <v>215</v>
      </c>
      <c r="C4" s="224">
        <f>'Свод 2021'!H9</f>
        <v>2689.6</v>
      </c>
      <c r="D4" s="215">
        <f>'Свод 2021'!J9</f>
        <v>20.88</v>
      </c>
      <c r="E4" s="22"/>
    </row>
    <row r="5" spans="2:5" ht="31.5" customHeight="1" thickBot="1">
      <c r="B5" s="36" t="s">
        <v>54</v>
      </c>
      <c r="C5" s="275" t="s">
        <v>150</v>
      </c>
      <c r="D5" s="276"/>
      <c r="E5" s="22">
        <f>'Свод 2021'!H9</f>
        <v>2689.6</v>
      </c>
    </row>
    <row r="6" spans="2:4" ht="30">
      <c r="B6" s="178" t="s">
        <v>338</v>
      </c>
      <c r="C6" s="277">
        <f>'Свод 2021'!K9</f>
        <v>238643.11999999988</v>
      </c>
      <c r="D6" s="278"/>
    </row>
    <row r="7" spans="2:4" ht="15">
      <c r="B7" s="40" t="s">
        <v>339</v>
      </c>
      <c r="C7" s="266">
        <f>'Свод 2021'!L9</f>
        <v>674106.6</v>
      </c>
      <c r="D7" s="267"/>
    </row>
    <row r="8" spans="2:4" ht="15">
      <c r="B8" s="40" t="s">
        <v>340</v>
      </c>
      <c r="C8" s="266">
        <f>'Свод 2021'!M9</f>
        <v>657811.72</v>
      </c>
      <c r="D8" s="267"/>
    </row>
    <row r="9" spans="2:4" ht="15">
      <c r="B9" s="40" t="s">
        <v>127</v>
      </c>
      <c r="C9" s="266" t="str">
        <f>'Свод 2021'!N4</f>
        <v>-0,01</v>
      </c>
      <c r="D9" s="267"/>
    </row>
    <row r="10" spans="2:6" ht="28.5">
      <c r="B10" s="41" t="s">
        <v>147</v>
      </c>
      <c r="C10" s="279">
        <f>C6+C7-C8-C9</f>
        <v>254938.0099999999</v>
      </c>
      <c r="D10" s="280"/>
      <c r="E10" s="22">
        <f>'Свод 2021'!O9</f>
        <v>254937.99999999988</v>
      </c>
      <c r="F10" s="125"/>
    </row>
    <row r="11" spans="2:4" ht="30">
      <c r="B11" s="178" t="s">
        <v>323</v>
      </c>
      <c r="C11" s="266">
        <f>'Свод 2021'!Q9</f>
        <v>2501.87</v>
      </c>
      <c r="D11" s="267"/>
    </row>
    <row r="12" spans="2:4" ht="15">
      <c r="B12" s="40" t="s">
        <v>342</v>
      </c>
      <c r="C12" s="266">
        <f>'Свод 2021'!R9</f>
        <v>7912.040000000001</v>
      </c>
      <c r="D12" s="267"/>
    </row>
    <row r="13" spans="2:4" ht="15">
      <c r="B13" s="40" t="s">
        <v>343</v>
      </c>
      <c r="C13" s="266">
        <f>'Свод 2021'!S9</f>
        <v>10431.99</v>
      </c>
      <c r="D13" s="267"/>
    </row>
    <row r="14" spans="2:6" ht="28.5">
      <c r="B14" s="41" t="s">
        <v>151</v>
      </c>
      <c r="C14" s="279">
        <f>C11+C12-C13</f>
        <v>-18.079999999999927</v>
      </c>
      <c r="D14" s="280"/>
      <c r="E14" s="22">
        <f>'Свод 2021'!T9</f>
        <v>-18.079999999999927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2021'!W9</f>
        <v>197201.47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2021'!U9</f>
        <v>2259.26</v>
      </c>
    </row>
    <row r="22" spans="2:4" ht="15">
      <c r="B22" s="46" t="s">
        <v>134</v>
      </c>
      <c r="C22" s="47" t="s">
        <v>60</v>
      </c>
      <c r="D22" s="48">
        <f>'Свод 2021'!V9</f>
        <v>27315.129999999997</v>
      </c>
    </row>
    <row r="23" spans="2:4" ht="30">
      <c r="B23" s="46" t="s">
        <v>161</v>
      </c>
      <c r="C23" s="94" t="s">
        <v>138</v>
      </c>
      <c r="D23" s="48">
        <f>'Свод 2021'!AA9+'Свод 2021'!Z9</f>
        <v>30661.43</v>
      </c>
    </row>
    <row r="24" spans="2:4" ht="28.5" customHeight="1">
      <c r="B24" s="124" t="s">
        <v>141</v>
      </c>
      <c r="C24" s="49" t="s">
        <v>140</v>
      </c>
      <c r="D24" s="207">
        <f>'Свод 2021'!AC9</f>
        <v>1953.79</v>
      </c>
    </row>
    <row r="25" spans="2:4" ht="28.5" customHeight="1">
      <c r="B25" s="154" t="s">
        <v>142</v>
      </c>
      <c r="C25" s="98" t="s">
        <v>143</v>
      </c>
      <c r="D25" s="207">
        <f>'Свод 2021'!AB9</f>
        <v>1291.01</v>
      </c>
    </row>
    <row r="26" spans="2:4" ht="21.75" customHeight="1">
      <c r="B26" s="200" t="s">
        <v>153</v>
      </c>
      <c r="C26" s="47" t="s">
        <v>169</v>
      </c>
      <c r="D26" s="201">
        <f>'Свод 2021'!AD9</f>
        <v>38834.17</v>
      </c>
    </row>
    <row r="27" spans="2:4" ht="30.75" customHeight="1">
      <c r="B27" s="105" t="s">
        <v>144</v>
      </c>
      <c r="C27" s="164" t="s">
        <v>135</v>
      </c>
      <c r="D27" s="288">
        <f>'Свод 2021'!AE9</f>
        <v>104571.65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2021'!AG9</f>
        <v>46476.29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2021'!AI9</f>
        <v>100375.87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2021'!AK9</f>
        <v>30661.44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2021'!AL9</f>
        <v>27111.17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2021'!AM9</f>
        <v>47121.79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2021'!AJ9</f>
        <v>52608.58</v>
      </c>
      <c r="E42" s="22">
        <f>D43-C8-C13</f>
        <v>40199.34000000008</v>
      </c>
    </row>
    <row r="43" spans="2:5" ht="15" thickBot="1">
      <c r="B43" s="227" t="s">
        <v>252</v>
      </c>
      <c r="C43" s="228"/>
      <c r="D43" s="229">
        <f>SUM(D19:D42)</f>
        <v>708443.05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3">
    <mergeCell ref="B50:D50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C9:D9"/>
    <mergeCell ref="C10:D10"/>
    <mergeCell ref="C11:D11"/>
    <mergeCell ref="C12:D12"/>
    <mergeCell ref="C13:D13"/>
    <mergeCell ref="C14:D14"/>
    <mergeCell ref="B1:D1"/>
    <mergeCell ref="B2:D2"/>
    <mergeCell ref="C5:D5"/>
    <mergeCell ref="C6:D6"/>
    <mergeCell ref="C7:D7"/>
    <mergeCell ref="C8:D8"/>
  </mergeCells>
  <printOptions/>
  <pageMargins left="0.24" right="0.24" top="0.2" bottom="0.17" header="0.17" footer="0.17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402</v>
      </c>
      <c r="C3" s="269"/>
      <c r="D3" s="269"/>
    </row>
    <row r="4" spans="2:5" ht="15.75" thickBot="1">
      <c r="B4" s="57" t="s">
        <v>287</v>
      </c>
      <c r="C4" s="224">
        <f>'Свод 2021'!H72</f>
        <v>3924.1</v>
      </c>
      <c r="D4" s="215">
        <f>'Свод 2021'!J72</f>
        <v>25.92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2021'!H72</f>
        <v>3924.1</v>
      </c>
      <c r="F5" s="22">
        <f>'Свод 2021'!J70</f>
        <v>25.92</v>
      </c>
    </row>
    <row r="6" spans="2:4" ht="30">
      <c r="B6" s="178" t="s">
        <v>338</v>
      </c>
      <c r="C6" s="277">
        <f>'Свод 2021'!K72</f>
        <v>371517.5099999998</v>
      </c>
      <c r="D6" s="278"/>
    </row>
    <row r="7" spans="2:4" ht="15">
      <c r="B7" s="40" t="s">
        <v>339</v>
      </c>
      <c r="C7" s="266">
        <f>'Свод 2021'!L72</f>
        <v>1227970.47</v>
      </c>
      <c r="D7" s="267"/>
    </row>
    <row r="8" spans="2:4" ht="15">
      <c r="B8" s="40" t="s">
        <v>340</v>
      </c>
      <c r="C8" s="266">
        <f>'Свод 2021'!M72</f>
        <v>1288374.99</v>
      </c>
      <c r="D8" s="267"/>
    </row>
    <row r="9" spans="2:4" ht="15">
      <c r="B9" s="40" t="s">
        <v>127</v>
      </c>
      <c r="C9" s="266">
        <f>'Свод 2021'!N72</f>
        <v>0</v>
      </c>
      <c r="D9" s="267"/>
    </row>
    <row r="10" spans="2:6" ht="28.5">
      <c r="B10" s="41" t="s">
        <v>147</v>
      </c>
      <c r="C10" s="279">
        <f>C6+C7-C8+C9</f>
        <v>311112.98999999976</v>
      </c>
      <c r="D10" s="280"/>
      <c r="E10" s="22">
        <f>'Свод 2021'!O72</f>
        <v>311112.98999999976</v>
      </c>
      <c r="F10" s="125"/>
    </row>
    <row r="11" spans="2:4" ht="30">
      <c r="B11" s="178" t="s">
        <v>323</v>
      </c>
      <c r="C11" s="266">
        <f>'Свод 2021'!Q72</f>
        <v>0</v>
      </c>
      <c r="D11" s="267"/>
    </row>
    <row r="12" spans="2:4" ht="15">
      <c r="B12" s="40" t="s">
        <v>342</v>
      </c>
      <c r="C12" s="266">
        <f>'Свод 2021'!R72</f>
        <v>0</v>
      </c>
      <c r="D12" s="267"/>
    </row>
    <row r="13" spans="2:4" ht="15">
      <c r="B13" s="40" t="s">
        <v>343</v>
      </c>
      <c r="C13" s="266">
        <f>'Свод 2021'!S72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2021'!T72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2021'!W72</f>
        <v>196361.96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2021'!U72</f>
        <v>3296.24</v>
      </c>
    </row>
    <row r="22" spans="2:4" ht="15">
      <c r="B22" s="46" t="s">
        <v>134</v>
      </c>
      <c r="C22" s="47" t="s">
        <v>60</v>
      </c>
      <c r="D22" s="48">
        <f>'Свод 2021'!V72</f>
        <v>13395.900000000001</v>
      </c>
    </row>
    <row r="23" spans="2:4" ht="30">
      <c r="B23" s="46" t="s">
        <v>161</v>
      </c>
      <c r="C23" s="94" t="s">
        <v>138</v>
      </c>
      <c r="D23" s="48">
        <f>'Свод 2021'!AA72+'Свод 2021'!Z72</f>
        <v>44734.729999999996</v>
      </c>
    </row>
    <row r="24" spans="2:4" ht="28.5" customHeight="1">
      <c r="B24" s="124" t="s">
        <v>141</v>
      </c>
      <c r="C24" s="49" t="s">
        <v>140</v>
      </c>
      <c r="D24" s="207">
        <f>'Свод 2021'!AC72</f>
        <v>1412.68</v>
      </c>
    </row>
    <row r="25" spans="2:4" ht="28.5" customHeight="1">
      <c r="B25" s="154" t="s">
        <v>142</v>
      </c>
      <c r="C25" s="98" t="s">
        <v>143</v>
      </c>
      <c r="D25" s="213">
        <f>'Свод 2021'!AB72</f>
        <v>1883.57</v>
      </c>
    </row>
    <row r="26" spans="2:4" ht="21.75" customHeight="1">
      <c r="B26" s="200" t="s">
        <v>153</v>
      </c>
      <c r="C26" s="47" t="s">
        <v>59</v>
      </c>
      <c r="D26" s="201">
        <f>'Свод 2021'!AD72</f>
        <v>41438.5</v>
      </c>
    </row>
    <row r="27" spans="2:4" ht="30.75" customHeight="1">
      <c r="B27" s="105" t="s">
        <v>144</v>
      </c>
      <c r="C27" s="164" t="s">
        <v>135</v>
      </c>
      <c r="D27" s="288">
        <f>'Свод 2021'!AE72</f>
        <v>152569.01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00" t="s">
        <v>288</v>
      </c>
      <c r="C31" s="164" t="s">
        <v>166</v>
      </c>
      <c r="D31" s="207">
        <f>'Свод 2021'!Y72</f>
        <v>357746</v>
      </c>
    </row>
    <row r="32" spans="2:4" ht="30">
      <c r="B32" s="175" t="s">
        <v>158</v>
      </c>
      <c r="C32" s="164" t="s">
        <v>166</v>
      </c>
      <c r="D32" s="176">
        <f>'Свод 2021'!AG72</f>
        <v>67808.45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2021'!AI72</f>
        <v>102358.21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2021'!AK72</f>
        <v>94289.67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2021'!AL72</f>
        <v>60025.82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2021'!AM72</f>
        <v>71750.23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2021'!AJ72</f>
        <v>86755.4</v>
      </c>
      <c r="E43" s="22">
        <f>D44-C8-C13</f>
        <v>7451.379999999888</v>
      </c>
    </row>
    <row r="44" spans="2:4" ht="15" thickBot="1">
      <c r="B44" s="227" t="s">
        <v>252</v>
      </c>
      <c r="C44" s="228"/>
      <c r="D44" s="229">
        <f>SUM(D19:D43)</f>
        <v>1295826.3699999999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3" ht="15.75">
      <c r="B53" s="102" t="s">
        <v>64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403</v>
      </c>
      <c r="C3" s="269"/>
      <c r="D3" s="269"/>
    </row>
    <row r="4" spans="2:5" ht="15.75" thickBot="1">
      <c r="B4" s="57" t="s">
        <v>289</v>
      </c>
      <c r="C4" s="224">
        <f>'Свод 2021'!H73</f>
        <v>1926.3</v>
      </c>
      <c r="D4" s="215">
        <f>'Свод 2021'!J73</f>
        <v>25.92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2021'!H73</f>
        <v>1926.3</v>
      </c>
      <c r="F5" s="22">
        <f>'Свод 2021'!J70</f>
        <v>25.92</v>
      </c>
    </row>
    <row r="6" spans="2:4" ht="30">
      <c r="B6" s="178" t="s">
        <v>338</v>
      </c>
      <c r="C6" s="277">
        <f>'Свод 2021'!K73</f>
        <v>188939.39</v>
      </c>
      <c r="D6" s="278"/>
    </row>
    <row r="7" spans="2:4" ht="15">
      <c r="B7" s="40" t="s">
        <v>339</v>
      </c>
      <c r="C7" s="266">
        <f>'Свод 2021'!L73</f>
        <v>603417.48</v>
      </c>
      <c r="D7" s="267"/>
    </row>
    <row r="8" spans="2:4" ht="15">
      <c r="B8" s="40" t="s">
        <v>340</v>
      </c>
      <c r="C8" s="266">
        <f>'Свод 2021'!M73</f>
        <v>603472.95</v>
      </c>
      <c r="D8" s="267"/>
    </row>
    <row r="9" spans="2:4" ht="15">
      <c r="B9" s="40" t="s">
        <v>127</v>
      </c>
      <c r="C9" s="266">
        <f>'Свод 2021'!N73</f>
        <v>0</v>
      </c>
      <c r="D9" s="267"/>
    </row>
    <row r="10" spans="2:6" ht="28.5">
      <c r="B10" s="41" t="s">
        <v>147</v>
      </c>
      <c r="C10" s="279">
        <f>C6+C7-C8+C9</f>
        <v>188883.92000000004</v>
      </c>
      <c r="D10" s="280"/>
      <c r="E10" s="22">
        <f>'Свод 2021'!O73</f>
        <v>188883.92000000004</v>
      </c>
      <c r="F10" s="125"/>
    </row>
    <row r="11" spans="2:4" ht="30">
      <c r="B11" s="178" t="s">
        <v>323</v>
      </c>
      <c r="C11" s="266">
        <f>'Свод 2021'!Q73</f>
        <v>0</v>
      </c>
      <c r="D11" s="267"/>
    </row>
    <row r="12" spans="2:4" ht="15">
      <c r="B12" s="40" t="s">
        <v>342</v>
      </c>
      <c r="C12" s="266">
        <f>'Свод 2021'!R73</f>
        <v>0</v>
      </c>
      <c r="D12" s="267"/>
    </row>
    <row r="13" spans="2:4" ht="15">
      <c r="B13" s="40" t="s">
        <v>343</v>
      </c>
      <c r="C13" s="266">
        <f>'Свод 2021'!S73</f>
        <v>0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2021'!T73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2021'!W73</f>
        <v>141236.32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2021'!U73</f>
        <v>1618.09</v>
      </c>
    </row>
    <row r="22" spans="2:4" ht="15">
      <c r="B22" s="46" t="s">
        <v>134</v>
      </c>
      <c r="C22" s="47" t="s">
        <v>60</v>
      </c>
      <c r="D22" s="48">
        <f>'Свод 2021'!V73</f>
        <v>10279.33</v>
      </c>
    </row>
    <row r="23" spans="2:4" ht="30">
      <c r="B23" s="46" t="s">
        <v>161</v>
      </c>
      <c r="C23" s="94" t="s">
        <v>138</v>
      </c>
      <c r="D23" s="48">
        <f>'Свод 2021'!AA73+'Свод 2021'!Z73</f>
        <v>21959.82</v>
      </c>
    </row>
    <row r="24" spans="2:4" ht="28.5" customHeight="1">
      <c r="B24" s="124" t="s">
        <v>141</v>
      </c>
      <c r="C24" s="49" t="s">
        <v>140</v>
      </c>
      <c r="D24" s="207">
        <f>'Свод 2021'!AC73</f>
        <v>693.47</v>
      </c>
    </row>
    <row r="25" spans="2:4" ht="28.5" customHeight="1">
      <c r="B25" s="154" t="s">
        <v>142</v>
      </c>
      <c r="C25" s="98" t="s">
        <v>143</v>
      </c>
      <c r="D25" s="213">
        <f>'Свод 2021'!AB73</f>
        <v>924.62</v>
      </c>
    </row>
    <row r="26" spans="2:4" ht="21.75" customHeight="1">
      <c r="B26" s="200" t="s">
        <v>153</v>
      </c>
      <c r="C26" s="47" t="s">
        <v>59</v>
      </c>
      <c r="D26" s="201">
        <f>'Свод 2021'!AD73</f>
        <v>20341.73</v>
      </c>
    </row>
    <row r="27" spans="2:4" ht="30.75" customHeight="1">
      <c r="B27" s="105" t="s">
        <v>144</v>
      </c>
      <c r="C27" s="164" t="s">
        <v>135</v>
      </c>
      <c r="D27" s="288">
        <f>'Свод 2021'!AE73</f>
        <v>74894.54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00" t="s">
        <v>290</v>
      </c>
      <c r="C31" s="164" t="s">
        <v>166</v>
      </c>
      <c r="D31" s="207">
        <f>'Свод 2021'!Y73</f>
        <v>175814.23</v>
      </c>
    </row>
    <row r="32" spans="2:4" ht="30">
      <c r="B32" s="175" t="s">
        <v>158</v>
      </c>
      <c r="C32" s="164" t="s">
        <v>166</v>
      </c>
      <c r="D32" s="176">
        <f>'Свод 2021'!AG73</f>
        <v>33286.46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2021'!AI73</f>
        <v>48773.92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2021'!AK73</f>
        <v>41376.92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2021'!AL73</f>
        <v>19648.26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2021'!AM73</f>
        <v>33748.78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2021'!AJ73</f>
        <v>37678.43</v>
      </c>
      <c r="E43" s="22">
        <f>D44-C8-C13-C9</f>
        <v>58801.970000000205</v>
      </c>
    </row>
    <row r="44" spans="2:4" ht="15" thickBot="1">
      <c r="B44" s="227" t="s">
        <v>252</v>
      </c>
      <c r="C44" s="228"/>
      <c r="D44" s="229">
        <f>SUM(D19:D43)</f>
        <v>662274.9200000002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3" ht="15.75">
      <c r="B53" s="102" t="s">
        <v>64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404</v>
      </c>
      <c r="C3" s="269"/>
      <c r="D3" s="269"/>
    </row>
    <row r="4" spans="2:5" ht="15.75" thickBot="1">
      <c r="B4" s="57" t="s">
        <v>291</v>
      </c>
      <c r="C4" s="224">
        <f>'Свод 2021'!H74</f>
        <v>2665</v>
      </c>
      <c r="D4" s="215">
        <f>'Свод 2021'!J74</f>
        <v>21.73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2021'!H74</f>
        <v>2665</v>
      </c>
      <c r="F5" s="22">
        <f>'Свод 2021'!J74</f>
        <v>21.73</v>
      </c>
    </row>
    <row r="6" spans="2:4" ht="30">
      <c r="B6" s="178" t="s">
        <v>338</v>
      </c>
      <c r="C6" s="277">
        <f>'Свод 2021'!K74</f>
        <v>79465.60999999999</v>
      </c>
      <c r="D6" s="278"/>
    </row>
    <row r="7" spans="2:4" ht="15">
      <c r="B7" s="40" t="s">
        <v>339</v>
      </c>
      <c r="C7" s="266">
        <f>'Свод 2021'!L74</f>
        <v>675942.6</v>
      </c>
      <c r="D7" s="267"/>
    </row>
    <row r="8" spans="2:4" ht="15">
      <c r="B8" s="40" t="s">
        <v>340</v>
      </c>
      <c r="C8" s="266">
        <f>'Свод 2021'!M74</f>
        <v>660896.04</v>
      </c>
      <c r="D8" s="267"/>
    </row>
    <row r="9" spans="2:4" ht="15">
      <c r="B9" s="40" t="s">
        <v>127</v>
      </c>
      <c r="C9" s="266">
        <f>'Свод 2021'!N73</f>
        <v>0</v>
      </c>
      <c r="D9" s="267"/>
    </row>
    <row r="10" spans="2:6" ht="28.5">
      <c r="B10" s="41" t="s">
        <v>147</v>
      </c>
      <c r="C10" s="279">
        <f>C6+C7-C8+C9</f>
        <v>94512.16999999993</v>
      </c>
      <c r="D10" s="280"/>
      <c r="E10" s="22">
        <f>'Свод 2021'!O74</f>
        <v>94512.16999999993</v>
      </c>
      <c r="F10" s="125"/>
    </row>
    <row r="11" spans="2:4" ht="30">
      <c r="B11" s="178" t="s">
        <v>323</v>
      </c>
      <c r="C11" s="266">
        <f>'Свод 2021'!Q74</f>
        <v>0</v>
      </c>
      <c r="D11" s="267"/>
    </row>
    <row r="12" spans="2:4" ht="15">
      <c r="B12" s="40" t="s">
        <v>342</v>
      </c>
      <c r="C12" s="266">
        <f>'Свод 2021'!R74</f>
        <v>25380.3</v>
      </c>
      <c r="D12" s="267"/>
    </row>
    <row r="13" spans="2:4" ht="15">
      <c r="B13" s="40" t="s">
        <v>343</v>
      </c>
      <c r="C13" s="266">
        <f>'Свод 2021'!S74</f>
        <v>21979.08</v>
      </c>
      <c r="D13" s="267"/>
    </row>
    <row r="14" spans="2:6" ht="28.5">
      <c r="B14" s="41" t="s">
        <v>151</v>
      </c>
      <c r="C14" s="279">
        <f>C11+C12-C13</f>
        <v>3401.2199999999975</v>
      </c>
      <c r="D14" s="280"/>
      <c r="E14" s="22">
        <f>'Свод 2021'!T74</f>
        <v>3401.2199999999975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2021'!W74</f>
        <v>195397.8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2021'!U74</f>
        <v>2238.6</v>
      </c>
    </row>
    <row r="22" spans="2:4" ht="15">
      <c r="B22" s="46" t="s">
        <v>134</v>
      </c>
      <c r="C22" s="47" t="s">
        <v>60</v>
      </c>
      <c r="D22" s="48">
        <f>'Свод 2021'!V74</f>
        <v>48045.4</v>
      </c>
    </row>
    <row r="23" spans="2:4" ht="30">
      <c r="B23" s="46" t="s">
        <v>161</v>
      </c>
      <c r="C23" s="94" t="s">
        <v>138</v>
      </c>
      <c r="D23" s="48">
        <f>'Свод 2021'!AA74+'Свод 2021'!Z74</f>
        <v>30381</v>
      </c>
    </row>
    <row r="24" spans="2:4" ht="28.5" customHeight="1">
      <c r="B24" s="124" t="s">
        <v>141</v>
      </c>
      <c r="C24" s="49" t="s">
        <v>140</v>
      </c>
      <c r="D24" s="207">
        <f>'Свод 2021'!AC74</f>
        <v>2302.98</v>
      </c>
    </row>
    <row r="25" spans="2:4" ht="28.5" customHeight="1">
      <c r="B25" s="154" t="s">
        <v>142</v>
      </c>
      <c r="C25" s="98" t="s">
        <v>143</v>
      </c>
      <c r="D25" s="207">
        <f>'Свод 2021'!AB74</f>
        <v>1279.2</v>
      </c>
    </row>
    <row r="26" spans="2:4" ht="21.75" customHeight="1" thickBot="1">
      <c r="B26" s="172" t="s">
        <v>153</v>
      </c>
      <c r="C26" s="173" t="s">
        <v>59</v>
      </c>
      <c r="D26" s="174">
        <f>'Свод 2021'!AD74</f>
        <v>28142.4</v>
      </c>
    </row>
    <row r="27" spans="2:4" ht="30.75" customHeight="1">
      <c r="B27" s="95" t="s">
        <v>144</v>
      </c>
      <c r="C27" s="150" t="s">
        <v>135</v>
      </c>
      <c r="D27" s="291">
        <f>'Свод 2021'!AE74</f>
        <v>103615.2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2021'!AG74</f>
        <v>46051.2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2021'!AI74</f>
        <v>99457.8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2021'!AK74</f>
        <v>57244.2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2021'!AL74</f>
        <v>27183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2021'!AM74</f>
        <v>46690.8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2021'!AJ74</f>
        <v>52127.4</v>
      </c>
      <c r="E42" s="22">
        <f>D43-C8-C9-C13</f>
        <v>57281.86000000006</v>
      </c>
    </row>
    <row r="43" spans="2:4" ht="15" thickBot="1">
      <c r="B43" s="227" t="s">
        <v>252</v>
      </c>
      <c r="C43" s="228"/>
      <c r="D43" s="229">
        <f>SUM(D19:D42)</f>
        <v>740156.9800000001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CCFF"/>
  </sheetPr>
  <dimension ref="B1:F61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353</v>
      </c>
      <c r="C3" s="269"/>
      <c r="D3" s="269"/>
    </row>
    <row r="4" spans="2:5" ht="15.75" thickBot="1">
      <c r="B4" s="57" t="s">
        <v>292</v>
      </c>
      <c r="C4" s="224">
        <f>'Свод 2021'!H75</f>
        <v>3482.6</v>
      </c>
      <c r="D4" s="215">
        <f>'Свод 2021'!J75</f>
        <v>25.92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2021'!H75</f>
        <v>3482.6</v>
      </c>
      <c r="F5" s="22">
        <f>'Свод 2021'!J75</f>
        <v>25.92</v>
      </c>
    </row>
    <row r="6" spans="2:4" ht="30">
      <c r="B6" s="178" t="s">
        <v>338</v>
      </c>
      <c r="C6" s="277">
        <f>'Свод 2021'!K75</f>
        <v>220778.47999999998</v>
      </c>
      <c r="D6" s="278"/>
    </row>
    <row r="7" spans="2:4" ht="15">
      <c r="B7" s="40" t="s">
        <v>339</v>
      </c>
      <c r="C7" s="266">
        <f>'Свод 2021'!L75</f>
        <v>830383.2</v>
      </c>
      <c r="D7" s="267"/>
    </row>
    <row r="8" spans="2:4" ht="15">
      <c r="B8" s="40" t="s">
        <v>340</v>
      </c>
      <c r="C8" s="266">
        <f>'Свод 2021'!M75</f>
        <v>933673.83</v>
      </c>
      <c r="D8" s="267"/>
    </row>
    <row r="9" spans="2:4" ht="15">
      <c r="B9" s="40" t="s">
        <v>127</v>
      </c>
      <c r="C9" s="266">
        <f>'Свод 2021'!N75</f>
        <v>0</v>
      </c>
      <c r="D9" s="267"/>
    </row>
    <row r="10" spans="2:6" ht="28.5">
      <c r="B10" s="41" t="s">
        <v>147</v>
      </c>
      <c r="C10" s="279">
        <f>C6+C7-C8+C9</f>
        <v>117487.84999999998</v>
      </c>
      <c r="D10" s="280"/>
      <c r="E10" s="22">
        <f>'Свод 2021'!O75</f>
        <v>117487.84999999998</v>
      </c>
      <c r="F10" s="125"/>
    </row>
    <row r="11" spans="2:4" ht="30">
      <c r="B11" s="178" t="s">
        <v>323</v>
      </c>
      <c r="C11" s="266">
        <f>'Свод 2021'!Q75</f>
        <v>30666.760000000002</v>
      </c>
      <c r="D11" s="267"/>
    </row>
    <row r="12" spans="2:4" ht="15">
      <c r="B12" s="40" t="s">
        <v>342</v>
      </c>
      <c r="C12" s="266">
        <f>'Свод 2021'!R75</f>
        <v>194893.53</v>
      </c>
      <c r="D12" s="267"/>
    </row>
    <row r="13" spans="2:4" ht="15">
      <c r="B13" s="40" t="s">
        <v>343</v>
      </c>
      <c r="C13" s="266">
        <f>'Свод 2021'!S75</f>
        <v>180022.3</v>
      </c>
      <c r="D13" s="267"/>
    </row>
    <row r="14" spans="2:6" ht="28.5">
      <c r="B14" s="41" t="s">
        <v>151</v>
      </c>
      <c r="C14" s="279">
        <f>C11+C12-C13</f>
        <v>45537.99000000002</v>
      </c>
      <c r="D14" s="280"/>
      <c r="E14" s="22">
        <f>'Свод 2021'!T75</f>
        <v>45537.99000000002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2021'!W75</f>
        <v>174269.3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2021'!U75</f>
        <v>2925.38</v>
      </c>
    </row>
    <row r="22" spans="2:4" ht="15">
      <c r="B22" s="46" t="s">
        <v>134</v>
      </c>
      <c r="C22" s="47" t="s">
        <v>60</v>
      </c>
      <c r="D22" s="48">
        <f>'Свод 2021'!V75</f>
        <v>15268.27</v>
      </c>
    </row>
    <row r="23" spans="2:4" ht="30">
      <c r="B23" s="46" t="s">
        <v>161</v>
      </c>
      <c r="C23" s="94" t="s">
        <v>138</v>
      </c>
      <c r="D23" s="48">
        <f>'Свод 2021'!AA75+'Свод 2021'!Z75</f>
        <v>39701.630000000005</v>
      </c>
    </row>
    <row r="24" spans="2:4" ht="28.5" customHeight="1">
      <c r="B24" s="124" t="s">
        <v>141</v>
      </c>
      <c r="C24" s="49" t="s">
        <v>140</v>
      </c>
      <c r="D24" s="207">
        <f>'Свод 2021'!AC75</f>
        <v>1253.74</v>
      </c>
    </row>
    <row r="25" spans="2:4" ht="28.5" customHeight="1">
      <c r="B25" s="154" t="s">
        <v>142</v>
      </c>
      <c r="C25" s="98" t="s">
        <v>143</v>
      </c>
      <c r="D25" s="213">
        <f>'Свод 2021'!AB75</f>
        <v>1671.65</v>
      </c>
    </row>
    <row r="26" spans="2:4" ht="21.75" customHeight="1">
      <c r="B26" s="200" t="s">
        <v>153</v>
      </c>
      <c r="C26" s="47" t="s">
        <v>59</v>
      </c>
      <c r="D26" s="201">
        <f>'Свод 2021'!AD75</f>
        <v>36776.26</v>
      </c>
    </row>
    <row r="27" spans="2:4" ht="30.75" customHeight="1">
      <c r="B27" s="105" t="s">
        <v>144</v>
      </c>
      <c r="C27" s="164" t="s">
        <v>135</v>
      </c>
      <c r="D27" s="288">
        <f>'Свод 2021'!AE75</f>
        <v>135403.49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">
      <c r="B30" s="149" t="s">
        <v>4</v>
      </c>
      <c r="C30" s="151" t="s">
        <v>5</v>
      </c>
      <c r="D30" s="288"/>
    </row>
    <row r="31" spans="2:4" ht="15">
      <c r="B31" s="200" t="s">
        <v>288</v>
      </c>
      <c r="C31" s="164" t="s">
        <v>166</v>
      </c>
      <c r="D31" s="207">
        <f>'Свод 2021'!Y75</f>
        <v>308971.26</v>
      </c>
    </row>
    <row r="32" spans="2:4" ht="30">
      <c r="B32" s="175" t="s">
        <v>158</v>
      </c>
      <c r="C32" s="164" t="s">
        <v>166</v>
      </c>
      <c r="D32" s="176">
        <f>'Свод 2021'!AG75</f>
        <v>60179.33</v>
      </c>
    </row>
    <row r="33" spans="2:4" ht="30">
      <c r="B33" s="148" t="s">
        <v>133</v>
      </c>
      <c r="C33" s="53"/>
      <c r="D33" s="54"/>
    </row>
    <row r="34" spans="2:4" ht="59.25">
      <c r="B34" s="124" t="s">
        <v>182</v>
      </c>
      <c r="C34" s="94" t="s">
        <v>181</v>
      </c>
      <c r="D34" s="89">
        <f>'Свод 2021'!AI75</f>
        <v>115089.43</v>
      </c>
    </row>
    <row r="35" spans="2:4" ht="60.75" thickBot="1">
      <c r="B35" s="148" t="s">
        <v>162</v>
      </c>
      <c r="C35" s="151"/>
      <c r="D35" s="89"/>
    </row>
    <row r="36" spans="2:4" ht="15">
      <c r="B36" s="155" t="s">
        <v>129</v>
      </c>
      <c r="C36" s="156"/>
      <c r="D36" s="157"/>
    </row>
    <row r="37" spans="2:4" ht="120.75" thickBot="1">
      <c r="B37" s="158" t="s">
        <v>154</v>
      </c>
      <c r="C37" s="159" t="s">
        <v>139</v>
      </c>
      <c r="D37" s="160">
        <f>'Свод 2021'!AK75</f>
        <v>74806.25</v>
      </c>
    </row>
    <row r="38" spans="2:4" ht="15">
      <c r="B38" s="155" t="s">
        <v>130</v>
      </c>
      <c r="C38" s="161"/>
      <c r="D38" s="162"/>
    </row>
    <row r="39" spans="2:4" ht="45.75" thickBot="1">
      <c r="B39" s="158" t="s">
        <v>155</v>
      </c>
      <c r="C39" s="159" t="s">
        <v>139</v>
      </c>
      <c r="D39" s="163">
        <f>'Свод 2021'!AL75</f>
        <v>35522.52</v>
      </c>
    </row>
    <row r="40" spans="2:4" ht="15">
      <c r="B40" s="155" t="s">
        <v>131</v>
      </c>
      <c r="C40" s="165"/>
      <c r="D40" s="166"/>
    </row>
    <row r="41" spans="2:4" ht="44.25" customHeight="1" thickBot="1">
      <c r="B41" s="158" t="s">
        <v>148</v>
      </c>
      <c r="C41" s="159" t="s">
        <v>139</v>
      </c>
      <c r="D41" s="163">
        <f>'Свод 2021'!AM75</f>
        <v>61015.15</v>
      </c>
    </row>
    <row r="42" spans="2:4" ht="19.5" customHeight="1">
      <c r="B42" s="167" t="s">
        <v>149</v>
      </c>
      <c r="C42" s="150"/>
      <c r="D42" s="168"/>
    </row>
    <row r="43" spans="2:5" ht="120.75" thickBot="1">
      <c r="B43" s="158" t="s">
        <v>163</v>
      </c>
      <c r="C43" s="159" t="s">
        <v>139</v>
      </c>
      <c r="D43" s="104">
        <f>'Свод 2021'!AJ75</f>
        <v>68119.66</v>
      </c>
      <c r="E43" s="22">
        <f>D44-C8-C13</f>
        <v>17277.189999999886</v>
      </c>
    </row>
    <row r="44" spans="2:4" ht="15" thickBot="1">
      <c r="B44" s="227" t="s">
        <v>252</v>
      </c>
      <c r="C44" s="228"/>
      <c r="D44" s="229">
        <f>SUM(D19:D43)</f>
        <v>1130973.3199999998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8" t="s">
        <v>87</v>
      </c>
      <c r="C50" s="268"/>
      <c r="D50" s="268"/>
    </row>
    <row r="51" spans="2:4" ht="20.25">
      <c r="B51" s="268" t="s">
        <v>50</v>
      </c>
      <c r="C51" s="268"/>
      <c r="D51" s="268"/>
    </row>
    <row r="52" spans="2:4" ht="20.25">
      <c r="B52" s="268" t="s">
        <v>49</v>
      </c>
      <c r="C52" s="268"/>
      <c r="D52" s="268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64</v>
      </c>
      <c r="C55" s="102"/>
    </row>
    <row r="61" ht="20.25">
      <c r="B61" s="103"/>
    </row>
  </sheetData>
  <sheetProtection/>
  <mergeCells count="24">
    <mergeCell ref="B52:D52"/>
    <mergeCell ref="D27:D30"/>
    <mergeCell ref="C45:D46"/>
    <mergeCell ref="B47:D47"/>
    <mergeCell ref="B50:D50"/>
    <mergeCell ref="B51:D51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405</v>
      </c>
      <c r="C3" s="269"/>
      <c r="D3" s="269"/>
    </row>
    <row r="4" spans="2:5" ht="15.75" thickBot="1">
      <c r="B4" s="57" t="s">
        <v>293</v>
      </c>
      <c r="C4" s="224">
        <f>'Свод 2021'!H76</f>
        <v>6349</v>
      </c>
      <c r="D4" s="215">
        <f>'Свод 2021'!J76</f>
        <v>35.76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2021'!H75</f>
        <v>3482.6</v>
      </c>
      <c r="F5" s="22">
        <f>'Свод 2021'!J75</f>
        <v>25.92</v>
      </c>
    </row>
    <row r="6" spans="2:4" ht="30">
      <c r="B6" s="178" t="s">
        <v>338</v>
      </c>
      <c r="C6" s="277">
        <f>'Свод 2021'!K76</f>
        <v>2878895.1799999997</v>
      </c>
      <c r="D6" s="278"/>
    </row>
    <row r="7" spans="2:4" ht="15">
      <c r="B7" s="40" t="s">
        <v>339</v>
      </c>
      <c r="C7" s="266">
        <f>'Свод 2021'!L76</f>
        <v>2684360.88</v>
      </c>
      <c r="D7" s="267"/>
    </row>
    <row r="8" spans="2:4" ht="15">
      <c r="B8" s="40" t="s">
        <v>340</v>
      </c>
      <c r="C8" s="266">
        <f>'Свод 2021'!M76</f>
        <v>1742676.73</v>
      </c>
      <c r="D8" s="267"/>
    </row>
    <row r="9" spans="2:4" ht="15">
      <c r="B9" s="40" t="s">
        <v>127</v>
      </c>
      <c r="C9" s="266">
        <f>'Свод 2021'!N76</f>
        <v>0</v>
      </c>
      <c r="D9" s="267"/>
    </row>
    <row r="10" spans="2:6" ht="28.5">
      <c r="B10" s="41" t="s">
        <v>147</v>
      </c>
      <c r="C10" s="279">
        <f>C6+C7-C8+C9</f>
        <v>3820579.3299999996</v>
      </c>
      <c r="D10" s="280"/>
      <c r="E10" s="22">
        <f>'Свод 2021'!O75</f>
        <v>117487.84999999998</v>
      </c>
      <c r="F10" s="125"/>
    </row>
    <row r="11" spans="2:4" ht="30">
      <c r="B11" s="178" t="s">
        <v>323</v>
      </c>
      <c r="C11" s="266">
        <f>'Свод 2021'!Q76</f>
        <v>-3671.75</v>
      </c>
      <c r="D11" s="267"/>
    </row>
    <row r="12" spans="2:4" ht="15">
      <c r="B12" s="40" t="s">
        <v>342</v>
      </c>
      <c r="C12" s="266">
        <f>'Свод 2021'!R76</f>
        <v>66202.77</v>
      </c>
      <c r="D12" s="267"/>
    </row>
    <row r="13" spans="2:4" ht="15">
      <c r="B13" s="40" t="s">
        <v>343</v>
      </c>
      <c r="C13" s="266">
        <f>'Свод 2021'!S76</f>
        <v>66213.99</v>
      </c>
      <c r="D13" s="267"/>
    </row>
    <row r="14" spans="2:6" ht="28.5">
      <c r="B14" s="41" t="s">
        <v>151</v>
      </c>
      <c r="C14" s="279">
        <f>C11+C12-C13</f>
        <v>-3682.970000000001</v>
      </c>
      <c r="D14" s="280"/>
      <c r="E14" s="22">
        <f>'Свод 2021'!T75</f>
        <v>45537.99000000002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2021'!W76</f>
        <v>465508.68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2021'!U76</f>
        <v>5333.16</v>
      </c>
    </row>
    <row r="22" spans="2:4" ht="15">
      <c r="B22" s="46" t="s">
        <v>134</v>
      </c>
      <c r="C22" s="47" t="s">
        <v>60</v>
      </c>
      <c r="D22" s="48">
        <f>'Свод 2021'!V76</f>
        <v>47761.11</v>
      </c>
    </row>
    <row r="23" spans="2:4" ht="30">
      <c r="B23" s="46" t="s">
        <v>161</v>
      </c>
      <c r="C23" s="94" t="s">
        <v>138</v>
      </c>
      <c r="D23" s="48">
        <f>'Свод 2021'!AA76+'Свод 2021'!Z76</f>
        <v>72378.6</v>
      </c>
    </row>
    <row r="24" spans="2:4" ht="28.5" customHeight="1">
      <c r="B24" s="124" t="s">
        <v>141</v>
      </c>
      <c r="C24" s="49" t="s">
        <v>140</v>
      </c>
      <c r="D24" s="207">
        <f>'Свод 2021'!AC76</f>
        <v>2285.64</v>
      </c>
    </row>
    <row r="25" spans="2:4" ht="28.5" customHeight="1">
      <c r="B25" s="154" t="s">
        <v>142</v>
      </c>
      <c r="C25" s="98" t="s">
        <v>143</v>
      </c>
      <c r="D25" s="213">
        <f>'Свод 2021'!AB76</f>
        <v>3047.52</v>
      </c>
    </row>
    <row r="26" spans="2:4" ht="21.75" customHeight="1">
      <c r="B26" s="200" t="s">
        <v>153</v>
      </c>
      <c r="C26" s="47" t="s">
        <v>59</v>
      </c>
      <c r="D26" s="201">
        <f>'Свод 2021'!AD76</f>
        <v>0</v>
      </c>
    </row>
    <row r="27" spans="2:4" ht="30.75" customHeight="1">
      <c r="B27" s="105" t="s">
        <v>144</v>
      </c>
      <c r="C27" s="164" t="s">
        <v>135</v>
      </c>
      <c r="D27" s="288">
        <f>'Свод 2021'!AE76</f>
        <v>246849.12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15">
      <c r="B31" s="239" t="s">
        <v>294</v>
      </c>
      <c r="C31" s="240" t="s">
        <v>61</v>
      </c>
      <c r="D31" s="234">
        <f>'Свод 2021'!X76</f>
        <v>184374.96</v>
      </c>
    </row>
    <row r="32" spans="2:4" ht="15">
      <c r="B32" s="200" t="s">
        <v>288</v>
      </c>
      <c r="C32" s="94" t="s">
        <v>166</v>
      </c>
      <c r="D32" s="207">
        <f>'Свод 2021'!Y76</f>
        <v>1005694.12</v>
      </c>
    </row>
    <row r="33" spans="2:4" ht="30">
      <c r="B33" s="175" t="s">
        <v>158</v>
      </c>
      <c r="C33" s="164" t="s">
        <v>166</v>
      </c>
      <c r="D33" s="176">
        <f>'Свод 2021'!AG76</f>
        <v>109710.72</v>
      </c>
    </row>
    <row r="34" spans="2:4" ht="30">
      <c r="B34" s="148" t="s">
        <v>133</v>
      </c>
      <c r="C34" s="53"/>
      <c r="D34" s="54"/>
    </row>
    <row r="35" spans="2:4" ht="59.25">
      <c r="B35" s="124" t="s">
        <v>182</v>
      </c>
      <c r="C35" s="94" t="s">
        <v>181</v>
      </c>
      <c r="D35" s="89">
        <f>'Свод 2021'!AI76</f>
        <v>236944.68</v>
      </c>
    </row>
    <row r="36" spans="2:4" ht="60.75" thickBot="1">
      <c r="B36" s="148" t="s">
        <v>162</v>
      </c>
      <c r="C36" s="151"/>
      <c r="D36" s="89"/>
    </row>
    <row r="37" spans="2:4" ht="15">
      <c r="B37" s="155" t="s">
        <v>129</v>
      </c>
      <c r="C37" s="156"/>
      <c r="D37" s="157"/>
    </row>
    <row r="38" spans="2:4" ht="120.75" thickBot="1">
      <c r="B38" s="158" t="s">
        <v>154</v>
      </c>
      <c r="C38" s="159" t="s">
        <v>139</v>
      </c>
      <c r="D38" s="160">
        <f>'Свод 2021'!AK76</f>
        <v>136376.52</v>
      </c>
    </row>
    <row r="39" spans="2:4" ht="15">
      <c r="B39" s="155" t="s">
        <v>130</v>
      </c>
      <c r="C39" s="161"/>
      <c r="D39" s="162"/>
    </row>
    <row r="40" spans="2:4" ht="45.75" thickBot="1">
      <c r="B40" s="158" t="s">
        <v>155</v>
      </c>
      <c r="C40" s="159" t="s">
        <v>139</v>
      </c>
      <c r="D40" s="163">
        <f>'Свод 2021'!AL76</f>
        <v>64759.8</v>
      </c>
    </row>
    <row r="41" spans="2:4" ht="15">
      <c r="B41" s="155" t="s">
        <v>131</v>
      </c>
      <c r="C41" s="165"/>
      <c r="D41" s="166"/>
    </row>
    <row r="42" spans="2:4" ht="44.25" customHeight="1" thickBot="1">
      <c r="B42" s="158" t="s">
        <v>148</v>
      </c>
      <c r="C42" s="159" t="s">
        <v>139</v>
      </c>
      <c r="D42" s="163">
        <f>'Свод 2021'!AM76</f>
        <v>111234.48</v>
      </c>
    </row>
    <row r="43" spans="2:4" ht="19.5" customHeight="1">
      <c r="B43" s="167" t="s">
        <v>149</v>
      </c>
      <c r="C43" s="150"/>
      <c r="D43" s="168"/>
    </row>
    <row r="44" spans="2:5" ht="120.75" thickBot="1">
      <c r="B44" s="158" t="s">
        <v>163</v>
      </c>
      <c r="C44" s="159" t="s">
        <v>139</v>
      </c>
      <c r="D44" s="104">
        <f>'Свод 2021'!AJ76</f>
        <v>124186.44</v>
      </c>
      <c r="E44" s="22">
        <f>D45-C8-C13</f>
        <v>1007554.8299999998</v>
      </c>
    </row>
    <row r="45" spans="2:4" ht="15" thickBot="1">
      <c r="B45" s="227" t="s">
        <v>252</v>
      </c>
      <c r="C45" s="228"/>
      <c r="D45" s="229">
        <f>SUM(D19:D44)</f>
        <v>2816445.55</v>
      </c>
    </row>
    <row r="46" spans="2:4" ht="15" customHeight="1">
      <c r="B46" s="169" t="s">
        <v>145</v>
      </c>
      <c r="C46" s="284" t="s">
        <v>146</v>
      </c>
      <c r="D46" s="285"/>
    </row>
    <row r="47" spans="2:4" ht="52.5" customHeight="1" thickBot="1">
      <c r="B47" s="153" t="s">
        <v>159</v>
      </c>
      <c r="C47" s="286"/>
      <c r="D47" s="287"/>
    </row>
    <row r="48" spans="2:4" ht="14.25">
      <c r="B48" s="274" t="s">
        <v>226</v>
      </c>
      <c r="C48" s="274"/>
      <c r="D48" s="274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68" t="s">
        <v>87</v>
      </c>
      <c r="C51" s="268"/>
      <c r="D51" s="268"/>
    </row>
    <row r="52" spans="2:4" ht="20.25">
      <c r="B52" s="268" t="s">
        <v>50</v>
      </c>
      <c r="C52" s="268"/>
      <c r="D52" s="268"/>
    </row>
    <row r="53" spans="2:4" ht="20.25">
      <c r="B53" s="268" t="s">
        <v>49</v>
      </c>
      <c r="C53" s="268"/>
      <c r="D53" s="268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64</v>
      </c>
      <c r="C56" s="102"/>
    </row>
    <row r="62" ht="20.25">
      <c r="B62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3:D53"/>
    <mergeCell ref="D27:D30"/>
    <mergeCell ref="C46:D47"/>
    <mergeCell ref="B48:D48"/>
    <mergeCell ref="B51:D51"/>
    <mergeCell ref="B52:D5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383</v>
      </c>
      <c r="C3" s="269"/>
      <c r="D3" s="269"/>
    </row>
    <row r="4" spans="2:5" ht="15.75" thickBot="1">
      <c r="B4" s="57" t="s">
        <v>295</v>
      </c>
      <c r="C4" s="224">
        <f>'Свод 2021'!H77</f>
        <v>1260</v>
      </c>
      <c r="D4" s="215">
        <f>'Свод 2021'!J77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2021'!H77</f>
        <v>1260</v>
      </c>
      <c r="F5" s="22">
        <f>'Свод 2021'!J77</f>
        <v>20.88</v>
      </c>
    </row>
    <row r="6" spans="2:4" ht="30">
      <c r="B6" s="178" t="s">
        <v>338</v>
      </c>
      <c r="C6" s="277">
        <f>'Свод 2021'!K77</f>
        <v>125570.10000000003</v>
      </c>
      <c r="D6" s="278"/>
    </row>
    <row r="7" spans="2:4" ht="15">
      <c r="B7" s="40" t="s">
        <v>339</v>
      </c>
      <c r="C7" s="266">
        <f>'Свод 2021'!L77</f>
        <v>315705.72</v>
      </c>
      <c r="D7" s="267"/>
    </row>
    <row r="8" spans="2:4" ht="15">
      <c r="B8" s="40" t="s">
        <v>340</v>
      </c>
      <c r="C8" s="266">
        <f>'Свод 2021'!M77</f>
        <v>308954.22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132321.60000000003</v>
      </c>
      <c r="D10" s="280"/>
      <c r="E10" s="22">
        <f>'Свод 2021'!O77</f>
        <v>132321.60000000003</v>
      </c>
      <c r="F10" s="125"/>
    </row>
    <row r="11" spans="2:4" ht="30">
      <c r="B11" s="178" t="s">
        <v>323</v>
      </c>
      <c r="C11" s="266">
        <f>'Свод 2021'!Q77</f>
        <v>0</v>
      </c>
      <c r="D11" s="267"/>
    </row>
    <row r="12" spans="2:4" ht="15">
      <c r="B12" s="40" t="s">
        <v>342</v>
      </c>
      <c r="C12" s="266">
        <f>'Свод 2021'!R77</f>
        <v>3537.5</v>
      </c>
      <c r="D12" s="267"/>
    </row>
    <row r="13" spans="2:4" ht="15">
      <c r="B13" s="40" t="s">
        <v>343</v>
      </c>
      <c r="C13" s="266">
        <f>'Свод 2021'!S77</f>
        <v>3187.5</v>
      </c>
      <c r="D13" s="267"/>
    </row>
    <row r="14" spans="2:6" ht="28.5">
      <c r="B14" s="41" t="s">
        <v>151</v>
      </c>
      <c r="C14" s="279">
        <f>C11+C12-C13</f>
        <v>350</v>
      </c>
      <c r="D14" s="280"/>
      <c r="E14" s="22">
        <f>'Свод 2021'!T77</f>
        <v>350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2021'!W77</f>
        <v>92383.2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2021'!U77</f>
        <v>1058.4</v>
      </c>
    </row>
    <row r="22" spans="2:4" ht="15">
      <c r="B22" s="46" t="s">
        <v>134</v>
      </c>
      <c r="C22" s="47" t="s">
        <v>60</v>
      </c>
      <c r="D22" s="48">
        <f>'Свод 2021'!V77</f>
        <v>5602.74</v>
      </c>
    </row>
    <row r="23" spans="2:4" ht="30">
      <c r="B23" s="46" t="s">
        <v>161</v>
      </c>
      <c r="C23" s="94" t="s">
        <v>138</v>
      </c>
      <c r="D23" s="48">
        <f>'Свод 2021'!AA77+'Свод 2021'!Z77</f>
        <v>14364</v>
      </c>
    </row>
    <row r="24" spans="2:4" ht="28.5" customHeight="1">
      <c r="B24" s="124" t="s">
        <v>141</v>
      </c>
      <c r="C24" s="49" t="s">
        <v>140</v>
      </c>
      <c r="D24" s="207">
        <f>'Свод 2021'!AC77</f>
        <v>1775.42</v>
      </c>
    </row>
    <row r="25" spans="2:4" ht="28.5" customHeight="1">
      <c r="B25" s="154" t="s">
        <v>142</v>
      </c>
      <c r="C25" s="98" t="s">
        <v>143</v>
      </c>
      <c r="D25" s="213">
        <f>'Свод 2021'!AB77</f>
        <v>604.8</v>
      </c>
    </row>
    <row r="26" spans="2:4" ht="21.75" customHeight="1">
      <c r="B26" s="200" t="s">
        <v>153</v>
      </c>
      <c r="C26" s="47" t="s">
        <v>59</v>
      </c>
      <c r="D26" s="201">
        <f>'Свод 2021'!AD77</f>
        <v>13305.6</v>
      </c>
    </row>
    <row r="27" spans="2:4" ht="30.75" customHeight="1">
      <c r="B27" s="105" t="s">
        <v>144</v>
      </c>
      <c r="C27" s="164" t="s">
        <v>135</v>
      </c>
      <c r="D27" s="288">
        <f>'Свод 2021'!AE77</f>
        <v>48988.8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2021'!AG77</f>
        <v>21772.8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2021'!AI77</f>
        <v>48973.2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2021'!AK77</f>
        <v>14364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2021'!AL77</f>
        <v>12700.8</v>
      </c>
    </row>
    <row r="39" spans="2:4" ht="15.75" thickBot="1">
      <c r="B39" s="155" t="s">
        <v>131</v>
      </c>
      <c r="C39" s="165"/>
      <c r="D39" s="166"/>
    </row>
    <row r="40" spans="2:4" ht="59.25" customHeight="1" thickBot="1">
      <c r="B40" s="158" t="s">
        <v>148</v>
      </c>
      <c r="C40" s="159" t="s">
        <v>139</v>
      </c>
      <c r="D40" s="166">
        <f>'Свод 2021'!AM77</f>
        <v>22075.2</v>
      </c>
    </row>
    <row r="41" spans="2:4" ht="19.5" customHeight="1">
      <c r="B41" s="167" t="s">
        <v>149</v>
      </c>
      <c r="C41" s="150"/>
      <c r="D41" s="168"/>
    </row>
    <row r="42" spans="2:4" ht="120.75" thickBot="1">
      <c r="B42" s="158" t="s">
        <v>163</v>
      </c>
      <c r="C42" s="159" t="s">
        <v>139</v>
      </c>
      <c r="D42" s="104">
        <f>'Свод 2021'!AJ77</f>
        <v>24645.6</v>
      </c>
    </row>
    <row r="43" spans="2:5" ht="15" thickBot="1">
      <c r="B43" s="227" t="s">
        <v>252</v>
      </c>
      <c r="C43" s="228"/>
      <c r="D43" s="229">
        <f>SUM(D19:D42)</f>
        <v>322614.56</v>
      </c>
      <c r="E43" s="22">
        <f>D43-C8-C13</f>
        <v>10472.840000000026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406</v>
      </c>
      <c r="C3" s="269"/>
      <c r="D3" s="269"/>
    </row>
    <row r="4" spans="2:5" ht="15.75" thickBot="1">
      <c r="B4" s="57" t="s">
        <v>296</v>
      </c>
      <c r="C4" s="224">
        <f>'Свод 2021'!H78</f>
        <v>1752.7</v>
      </c>
      <c r="D4" s="215">
        <f>'Свод 2021'!J78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2021'!H78</f>
        <v>1752.7</v>
      </c>
      <c r="F5" s="22">
        <f>'Свод 2021'!J77</f>
        <v>20.88</v>
      </c>
    </row>
    <row r="6" spans="2:4" ht="30">
      <c r="B6" s="178" t="s">
        <v>338</v>
      </c>
      <c r="C6" s="277">
        <f>'Свод 2021'!AG78</f>
        <v>30286.66</v>
      </c>
      <c r="D6" s="278"/>
    </row>
    <row r="7" spans="2:4" ht="15">
      <c r="B7" s="40" t="s">
        <v>339</v>
      </c>
      <c r="C7" s="266">
        <f>'Свод 2021'!L78</f>
        <v>439064.44</v>
      </c>
      <c r="D7" s="267"/>
    </row>
    <row r="8" spans="2:4" ht="15">
      <c r="B8" s="40" t="s">
        <v>340</v>
      </c>
      <c r="C8" s="266">
        <f>'Свод 2021'!M78</f>
        <v>392341.26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77009.83999999997</v>
      </c>
      <c r="D10" s="280"/>
      <c r="E10" s="22">
        <f>'Свод 2021'!O78</f>
        <v>264863.82000000007</v>
      </c>
      <c r="F10" s="125"/>
    </row>
    <row r="11" spans="2:4" ht="30">
      <c r="B11" s="178" t="s">
        <v>323</v>
      </c>
      <c r="C11" s="266">
        <f>'Свод 2021'!Q78</f>
        <v>0</v>
      </c>
      <c r="D11" s="267"/>
    </row>
    <row r="12" spans="2:4" ht="15">
      <c r="B12" s="40" t="s">
        <v>342</v>
      </c>
      <c r="C12" s="266">
        <f>'Свод 2021'!R78</f>
        <v>3537.5</v>
      </c>
      <c r="D12" s="267"/>
    </row>
    <row r="13" spans="2:4" ht="15">
      <c r="B13" s="40" t="s">
        <v>343</v>
      </c>
      <c r="C13" s="266">
        <f>'Свод 2021'!S78</f>
        <v>3187.5</v>
      </c>
      <c r="D13" s="267"/>
    </row>
    <row r="14" spans="2:6" ht="28.5">
      <c r="B14" s="41" t="s">
        <v>151</v>
      </c>
      <c r="C14" s="279">
        <f>C11+C12-C13</f>
        <v>350</v>
      </c>
      <c r="D14" s="280"/>
      <c r="E14" s="22">
        <f>'Свод 2021'!T78</f>
        <v>350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2021'!W78</f>
        <v>128507.96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2021'!U78</f>
        <v>1472.27</v>
      </c>
    </row>
    <row r="22" spans="2:4" ht="15">
      <c r="B22" s="46" t="s">
        <v>134</v>
      </c>
      <c r="C22" s="47" t="s">
        <v>60</v>
      </c>
      <c r="D22" s="48">
        <f>'Свод 2021'!V78</f>
        <v>10401.369999999999</v>
      </c>
    </row>
    <row r="23" spans="2:4" ht="30">
      <c r="B23" s="46" t="s">
        <v>161</v>
      </c>
      <c r="C23" s="94" t="s">
        <v>138</v>
      </c>
      <c r="D23" s="48">
        <f>'Свод 2021'!AA78+'Свод 2021'!Z78</f>
        <v>19980.78</v>
      </c>
    </row>
    <row r="24" spans="2:4" ht="28.5" customHeight="1">
      <c r="B24" s="124" t="s">
        <v>141</v>
      </c>
      <c r="C24" s="49" t="s">
        <v>140</v>
      </c>
      <c r="D24" s="207">
        <f>'Свод 2021'!AC78</f>
        <v>2469.95</v>
      </c>
    </row>
    <row r="25" spans="2:4" ht="28.5" customHeight="1">
      <c r="B25" s="154" t="s">
        <v>142</v>
      </c>
      <c r="C25" s="98" t="s">
        <v>143</v>
      </c>
      <c r="D25" s="213">
        <f>'Свод 2021'!AB78</f>
        <v>841.3</v>
      </c>
    </row>
    <row r="26" spans="2:4" ht="21.75" customHeight="1">
      <c r="B26" s="200" t="s">
        <v>153</v>
      </c>
      <c r="C26" s="47" t="s">
        <v>59</v>
      </c>
      <c r="D26" s="201">
        <f>'Свод 2021'!AD78</f>
        <v>18508.51</v>
      </c>
    </row>
    <row r="27" spans="2:4" ht="30.75" customHeight="1">
      <c r="B27" s="105" t="s">
        <v>144</v>
      </c>
      <c r="C27" s="164" t="s">
        <v>135</v>
      </c>
      <c r="D27" s="288">
        <f>'Свод 2021'!AE78</f>
        <v>68144.98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2021'!AG78</f>
        <v>30286.66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2021'!AI78</f>
        <v>127714.76000000001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2021'!AK78</f>
        <v>19980.78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2021'!AL78</f>
        <v>17667.22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2021'!AM78</f>
        <v>30707.3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2021'!AJ78</f>
        <v>34282.81</v>
      </c>
      <c r="E42" s="22">
        <f>D43-C8-C13</f>
        <v>115437.8899999999</v>
      </c>
    </row>
    <row r="43" spans="2:4" ht="15" thickBot="1">
      <c r="B43" s="227" t="s">
        <v>252</v>
      </c>
      <c r="C43" s="228"/>
      <c r="D43" s="229">
        <f>SUM(D19:D42)</f>
        <v>510966.6499999999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390</v>
      </c>
      <c r="C3" s="269"/>
      <c r="D3" s="269"/>
    </row>
    <row r="4" spans="2:5" ht="15.75" thickBot="1">
      <c r="B4" s="57" t="s">
        <v>297</v>
      </c>
      <c r="C4" s="224">
        <f>'Свод 2021'!H79</f>
        <v>1722.5</v>
      </c>
      <c r="D4" s="215">
        <f>'Свод 2021'!J79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2021'!H79</f>
        <v>1722.5</v>
      </c>
      <c r="F5" s="22">
        <f>'Свод 2021'!J77</f>
        <v>20.88</v>
      </c>
    </row>
    <row r="6" spans="2:4" ht="30">
      <c r="B6" s="178" t="s">
        <v>338</v>
      </c>
      <c r="C6" s="277">
        <f>'Свод 2021'!AG79</f>
        <v>29764.8</v>
      </c>
      <c r="D6" s="278"/>
    </row>
    <row r="7" spans="2:4" ht="15">
      <c r="B7" s="40" t="s">
        <v>339</v>
      </c>
      <c r="C7" s="266">
        <f>'Свод 2021'!L79</f>
        <v>431589.24</v>
      </c>
      <c r="D7" s="267"/>
    </row>
    <row r="8" spans="2:4" ht="15">
      <c r="B8" s="40" t="s">
        <v>340</v>
      </c>
      <c r="C8" s="266">
        <f>'Свод 2021'!M79</f>
        <v>404341.59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57012.44999999995</v>
      </c>
      <c r="D10" s="280"/>
      <c r="E10" s="22">
        <f>'Свод 2021'!O79</f>
        <v>146130.53999999986</v>
      </c>
      <c r="F10" s="125"/>
    </row>
    <row r="11" spans="2:4" ht="30">
      <c r="B11" s="178" t="s">
        <v>323</v>
      </c>
      <c r="C11" s="266">
        <f>'Свод 2021'!Q79</f>
        <v>3329.2</v>
      </c>
      <c r="D11" s="267"/>
    </row>
    <row r="12" spans="2:4" ht="15">
      <c r="B12" s="40" t="s">
        <v>342</v>
      </c>
      <c r="C12" s="266">
        <f>'Свод 2021'!R79</f>
        <v>36180.17</v>
      </c>
      <c r="D12" s="267"/>
    </row>
    <row r="13" spans="2:4" ht="15">
      <c r="B13" s="40" t="s">
        <v>343</v>
      </c>
      <c r="C13" s="266">
        <f>'Свод 2021'!S79</f>
        <v>37113.340000000004</v>
      </c>
      <c r="D13" s="267"/>
    </row>
    <row r="14" spans="2:6" ht="28.5">
      <c r="B14" s="41" t="s">
        <v>151</v>
      </c>
      <c r="C14" s="279">
        <f>C11+C12-C13</f>
        <v>2396.0299999999916</v>
      </c>
      <c r="D14" s="280"/>
      <c r="E14" s="22">
        <f>'Свод 2021'!T79</f>
        <v>2396.0299999999916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2021'!W79</f>
        <v>126293.7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2021'!U79</f>
        <v>1446.9</v>
      </c>
    </row>
    <row r="22" spans="2:4" ht="15">
      <c r="B22" s="46" t="s">
        <v>134</v>
      </c>
      <c r="C22" s="47" t="s">
        <v>60</v>
      </c>
      <c r="D22" s="48">
        <f>'Свод 2021'!V79</f>
        <v>12529.470000000001</v>
      </c>
    </row>
    <row r="23" spans="2:4" ht="30">
      <c r="B23" s="46" t="s">
        <v>161</v>
      </c>
      <c r="C23" s="94" t="s">
        <v>138</v>
      </c>
      <c r="D23" s="48">
        <f>'Свод 2021'!AA79+'Свод 2021'!Z79</f>
        <v>19636.5</v>
      </c>
    </row>
    <row r="24" spans="2:4" ht="28.5" customHeight="1">
      <c r="B24" s="124" t="s">
        <v>141</v>
      </c>
      <c r="C24" s="49" t="s">
        <v>140</v>
      </c>
      <c r="D24" s="207">
        <f>'Свод 2021'!AC79</f>
        <v>2260.92</v>
      </c>
    </row>
    <row r="25" spans="2:4" ht="28.5" customHeight="1">
      <c r="B25" s="154" t="s">
        <v>142</v>
      </c>
      <c r="C25" s="98" t="s">
        <v>143</v>
      </c>
      <c r="D25" s="213">
        <f>'Свод 2021'!AB79</f>
        <v>826.8</v>
      </c>
    </row>
    <row r="26" spans="2:4" ht="21.75" customHeight="1">
      <c r="B26" s="200" t="s">
        <v>153</v>
      </c>
      <c r="C26" s="47" t="s">
        <v>59</v>
      </c>
      <c r="D26" s="201">
        <f>'Свод 2021'!AD79</f>
        <v>18189.6</v>
      </c>
    </row>
    <row r="27" spans="2:4" ht="30.75" customHeight="1">
      <c r="B27" s="105" t="s">
        <v>144</v>
      </c>
      <c r="C27" s="164" t="s">
        <v>135</v>
      </c>
      <c r="D27" s="288">
        <f>'Свод 2021'!AE79</f>
        <v>66970.8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2021'!AG79</f>
        <v>29764.8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2021'!AI79</f>
        <v>173093.7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2021'!AK79</f>
        <v>19636.5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2021'!AL79</f>
        <v>17362.8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2021'!AM79</f>
        <v>30178.2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4" t="s">
        <v>163</v>
      </c>
      <c r="C42" s="151" t="s">
        <v>139</v>
      </c>
      <c r="D42" s="219">
        <f>'Свод 2021'!AJ79</f>
        <v>33692.1</v>
      </c>
      <c r="E42" s="22">
        <f>D43-C8-C13</f>
        <v>110427.86000000002</v>
      </c>
    </row>
    <row r="43" spans="2:4" ht="15" thickBot="1">
      <c r="B43" s="227" t="s">
        <v>252</v>
      </c>
      <c r="C43" s="232"/>
      <c r="D43" s="233">
        <f>SUM(D19:D42)</f>
        <v>551882.79</v>
      </c>
    </row>
    <row r="44" spans="2:4" ht="15" customHeight="1">
      <c r="B44" s="230" t="s">
        <v>145</v>
      </c>
      <c r="C44" s="294" t="s">
        <v>146</v>
      </c>
      <c r="D44" s="29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4" right="0.24" top="0.17" bottom="0.24" header="0.17" footer="0.18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406</v>
      </c>
      <c r="C3" s="269"/>
      <c r="D3" s="269"/>
    </row>
    <row r="4" spans="2:5" ht="15.75" thickBot="1">
      <c r="B4" s="57" t="s">
        <v>298</v>
      </c>
      <c r="C4" s="224">
        <f>'Свод 2021'!H80</f>
        <v>1309.9</v>
      </c>
      <c r="D4" s="215">
        <f>'Свод 2021'!J80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2021'!H80</f>
        <v>1309.9</v>
      </c>
      <c r="F5" s="22">
        <f>'Свод 2021'!J77</f>
        <v>20.88</v>
      </c>
    </row>
    <row r="6" spans="2:4" ht="30">
      <c r="B6" s="178" t="s">
        <v>338</v>
      </c>
      <c r="C6" s="277">
        <f>'Свод 2021'!K80</f>
        <v>193998.87</v>
      </c>
      <c r="D6" s="278"/>
    </row>
    <row r="7" spans="2:4" ht="15">
      <c r="B7" s="40" t="s">
        <v>339</v>
      </c>
      <c r="C7" s="266">
        <f>'Свод 2021'!L80</f>
        <v>311596.44</v>
      </c>
      <c r="D7" s="267"/>
    </row>
    <row r="8" spans="2:4" ht="15">
      <c r="B8" s="40" t="s">
        <v>340</v>
      </c>
      <c r="C8" s="266">
        <f>'Свод 2021'!M80</f>
        <v>371530.29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134065.02000000002</v>
      </c>
      <c r="D10" s="280"/>
      <c r="E10" s="22">
        <f>'Свод 2021'!O80</f>
        <v>134065.02000000002</v>
      </c>
      <c r="F10" s="125"/>
    </row>
    <row r="11" spans="2:4" ht="30">
      <c r="B11" s="178" t="s">
        <v>323</v>
      </c>
      <c r="C11" s="266">
        <f>'Свод 2021'!Q80</f>
        <v>6397.02</v>
      </c>
      <c r="D11" s="267"/>
    </row>
    <row r="12" spans="2:4" ht="15">
      <c r="B12" s="40" t="s">
        <v>342</v>
      </c>
      <c r="C12" s="266">
        <f>'Свод 2021'!R80</f>
        <v>60596</v>
      </c>
      <c r="D12" s="267"/>
    </row>
    <row r="13" spans="2:4" ht="15">
      <c r="B13" s="40" t="s">
        <v>343</v>
      </c>
      <c r="C13" s="266">
        <f>'Свод 2021'!S80</f>
        <v>57570.18</v>
      </c>
      <c r="D13" s="267"/>
    </row>
    <row r="14" spans="2:6" ht="28.5">
      <c r="B14" s="41" t="s">
        <v>151</v>
      </c>
      <c r="C14" s="279">
        <f>C11+C12-C13</f>
        <v>9422.840000000004</v>
      </c>
      <c r="D14" s="280"/>
      <c r="E14" s="22">
        <f>'Свод 2021'!T80</f>
        <v>9422.840000000004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2021'!W80</f>
        <v>96041.87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2021'!U80</f>
        <v>1100.32</v>
      </c>
    </row>
    <row r="22" spans="2:4" ht="15">
      <c r="B22" s="46" t="s">
        <v>134</v>
      </c>
      <c r="C22" s="47" t="s">
        <v>60</v>
      </c>
      <c r="D22" s="48">
        <f>'Свод 2021'!V80</f>
        <v>11085.68</v>
      </c>
    </row>
    <row r="23" spans="2:4" ht="30">
      <c r="B23" s="46" t="s">
        <v>161</v>
      </c>
      <c r="C23" s="94" t="s">
        <v>138</v>
      </c>
      <c r="D23" s="48">
        <f>'Свод 2021'!AA80+'Свод 2021'!Z80</f>
        <v>14932.87</v>
      </c>
    </row>
    <row r="24" spans="2:4" ht="28.5" customHeight="1">
      <c r="B24" s="124" t="s">
        <v>141</v>
      </c>
      <c r="C24" s="49" t="s">
        <v>140</v>
      </c>
      <c r="D24" s="207">
        <f>'Свод 2021'!AC80</f>
        <v>1804.56</v>
      </c>
    </row>
    <row r="25" spans="2:4" ht="28.5" customHeight="1">
      <c r="B25" s="154" t="s">
        <v>142</v>
      </c>
      <c r="C25" s="98" t="s">
        <v>143</v>
      </c>
      <c r="D25" s="213">
        <f>'Свод 2021'!AB80</f>
        <v>628.75</v>
      </c>
    </row>
    <row r="26" spans="2:4" ht="21.75" customHeight="1">
      <c r="B26" s="200" t="s">
        <v>153</v>
      </c>
      <c r="C26" s="47" t="s">
        <v>59</v>
      </c>
      <c r="D26" s="201">
        <f>'Свод 2021'!AD80</f>
        <v>13832.54</v>
      </c>
    </row>
    <row r="27" spans="2:4" ht="30.75" customHeight="1">
      <c r="B27" s="105" t="s">
        <v>144</v>
      </c>
      <c r="C27" s="164" t="s">
        <v>135</v>
      </c>
      <c r="D27" s="288">
        <f>'Свод 2021'!AE80</f>
        <v>50928.91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2021'!AG80</f>
        <v>22635.07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2021'!AI80</f>
        <v>176415.47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2021'!AK80</f>
        <v>14932.86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2021'!AL80</f>
        <v>13203.79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2021'!AM80</f>
        <v>22949.45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2021'!AJ80</f>
        <v>25621.64</v>
      </c>
      <c r="E42" s="22">
        <f>D43-C8-C13</f>
        <v>37013.31000000005</v>
      </c>
    </row>
    <row r="43" spans="2:4" ht="15" thickBot="1">
      <c r="B43" s="227" t="s">
        <v>252</v>
      </c>
      <c r="C43" s="228"/>
      <c r="D43" s="229">
        <f>SUM(D19:D42)</f>
        <v>466113.78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214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24" right="0.24" top="0.17" bottom="0.18" header="0.17" footer="0.17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3">
      <selection activeCell="E44" sqref="E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333</v>
      </c>
      <c r="C3" s="269"/>
      <c r="D3" s="269"/>
    </row>
    <row r="4" spans="2:5" ht="15.75" thickBot="1">
      <c r="B4" s="57" t="s">
        <v>299</v>
      </c>
      <c r="C4" s="224">
        <f>'Свод 2021'!H81</f>
        <v>1329.9</v>
      </c>
      <c r="D4" s="215">
        <f>'Свод 2021'!J81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2021'!H81</f>
        <v>1329.9</v>
      </c>
      <c r="F5" s="22">
        <f>'Свод 2021'!J77</f>
        <v>20.88</v>
      </c>
    </row>
    <row r="6" spans="2:4" ht="30">
      <c r="B6" s="178" t="s">
        <v>311</v>
      </c>
      <c r="C6" s="277">
        <f>'Свод 2021'!K81</f>
        <v>86449.15999999997</v>
      </c>
      <c r="D6" s="278"/>
    </row>
    <row r="7" spans="2:4" ht="15">
      <c r="B7" s="40" t="s">
        <v>312</v>
      </c>
      <c r="C7" s="266">
        <f>'Свод 2021'!L81</f>
        <v>333219.72</v>
      </c>
      <c r="D7" s="267"/>
    </row>
    <row r="8" spans="2:4" ht="15">
      <c r="B8" s="40" t="s">
        <v>313</v>
      </c>
      <c r="C8" s="266">
        <f>'Свод 2021'!M81</f>
        <v>338289.55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81379.32999999996</v>
      </c>
      <c r="D10" s="280"/>
      <c r="E10" s="22">
        <f>'Свод 2021'!O81</f>
        <v>81379.32999999996</v>
      </c>
      <c r="F10" s="125"/>
    </row>
    <row r="11" spans="2:4" ht="30">
      <c r="B11" s="178" t="s">
        <v>323</v>
      </c>
      <c r="C11" s="266">
        <f>'Свод 2021'!Q81</f>
        <v>0</v>
      </c>
      <c r="D11" s="267"/>
    </row>
    <row r="12" spans="2:4" ht="15">
      <c r="B12" s="40" t="s">
        <v>314</v>
      </c>
      <c r="C12" s="266">
        <f>'Свод 2021'!R81</f>
        <v>6278.92</v>
      </c>
      <c r="D12" s="267"/>
    </row>
    <row r="13" spans="2:4" ht="15">
      <c r="B13" s="40" t="s">
        <v>315</v>
      </c>
      <c r="C13" s="266">
        <f>'Свод 2021'!S81</f>
        <v>3575.84</v>
      </c>
      <c r="D13" s="267"/>
    </row>
    <row r="14" spans="2:6" ht="28.5">
      <c r="B14" s="41" t="s">
        <v>151</v>
      </c>
      <c r="C14" s="279">
        <f>C11+C12-C13</f>
        <v>2703.08</v>
      </c>
      <c r="D14" s="280"/>
      <c r="E14" s="22">
        <f>'Свод 2021'!T81</f>
        <v>2703.08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324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2021'!W81</f>
        <v>97508.27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2021'!U81</f>
        <v>1117.12</v>
      </c>
    </row>
    <row r="22" spans="2:4" ht="15">
      <c r="B22" s="46" t="s">
        <v>134</v>
      </c>
      <c r="C22" s="47" t="s">
        <v>60</v>
      </c>
      <c r="D22" s="48">
        <f>'Свод 2021'!V81</f>
        <v>25871.57</v>
      </c>
    </row>
    <row r="23" spans="2:4" ht="30">
      <c r="B23" s="46" t="s">
        <v>161</v>
      </c>
      <c r="C23" s="94" t="s">
        <v>138</v>
      </c>
      <c r="D23" s="48">
        <f>'Свод 2021'!AA81+'Свод 2021'!Z81</f>
        <v>15160.87</v>
      </c>
    </row>
    <row r="24" spans="2:4" ht="28.5" customHeight="1">
      <c r="B24" s="124" t="s">
        <v>141</v>
      </c>
      <c r="C24" s="49" t="s">
        <v>140</v>
      </c>
      <c r="D24" s="207">
        <f>'Свод 2021'!AC81</f>
        <v>1172.6</v>
      </c>
    </row>
    <row r="25" spans="2:4" ht="28.5" customHeight="1">
      <c r="B25" s="154" t="s">
        <v>142</v>
      </c>
      <c r="C25" s="98" t="s">
        <v>143</v>
      </c>
      <c r="D25" s="213">
        <f>'Свод 2021'!AB81</f>
        <v>638.35</v>
      </c>
    </row>
    <row r="26" spans="2:4" ht="21.75" customHeight="1">
      <c r="B26" s="200" t="s">
        <v>153</v>
      </c>
      <c r="C26" s="47" t="s">
        <v>59</v>
      </c>
      <c r="D26" s="201">
        <f>'Свод 2021'!AD81</f>
        <v>14043.74</v>
      </c>
    </row>
    <row r="27" spans="2:4" ht="30.75" customHeight="1">
      <c r="B27" s="105" t="s">
        <v>144</v>
      </c>
      <c r="C27" s="164" t="s">
        <v>135</v>
      </c>
      <c r="D27" s="288">
        <f>'Свод 2021'!AE81</f>
        <v>51706.51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2021'!AG81</f>
        <v>22980.67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2021'!AI81</f>
        <v>59134.87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2021'!AK81</f>
        <v>15160.86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2021'!AL81</f>
        <v>13405.39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2021'!AM81</f>
        <v>23299.85</v>
      </c>
    </row>
    <row r="41" spans="2:4" ht="19.5" customHeight="1">
      <c r="B41" s="167" t="s">
        <v>149</v>
      </c>
      <c r="C41" s="150"/>
      <c r="D41" s="168"/>
    </row>
    <row r="42" spans="2:4" ht="120.75" thickBot="1">
      <c r="B42" s="158" t="s">
        <v>163</v>
      </c>
      <c r="C42" s="159" t="s">
        <v>139</v>
      </c>
      <c r="D42" s="104">
        <f>'Свод 2021'!AJ81</f>
        <v>26012.84</v>
      </c>
    </row>
    <row r="43" spans="2:5" ht="15.75" thickBot="1">
      <c r="B43" s="227" t="s">
        <v>252</v>
      </c>
      <c r="C43" s="225"/>
      <c r="D43" s="226">
        <f>SUM(D19:D42)</f>
        <v>367213.51</v>
      </c>
      <c r="E43" s="22">
        <f>D43-C8-C13</f>
        <v>25348.12000000002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24" right="0.24" top="0.23" bottom="0.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350</v>
      </c>
      <c r="C3" s="269"/>
      <c r="D3" s="269"/>
    </row>
    <row r="4" spans="2:5" ht="15.75" thickBot="1">
      <c r="B4" s="57" t="s">
        <v>216</v>
      </c>
      <c r="C4" s="224">
        <f>'Свод 2021'!H10</f>
        <v>2720.1</v>
      </c>
      <c r="D4" s="215">
        <f>'Свод 2021'!J10</f>
        <v>20.88</v>
      </c>
      <c r="E4" s="22"/>
    </row>
    <row r="5" spans="2:5" ht="31.5" customHeight="1" thickBot="1">
      <c r="B5" s="36" t="s">
        <v>54</v>
      </c>
      <c r="C5" s="275" t="s">
        <v>150</v>
      </c>
      <c r="D5" s="276"/>
      <c r="E5" s="22">
        <f>'Свод 2021'!H10</f>
        <v>2720.1</v>
      </c>
    </row>
    <row r="6" spans="2:4" ht="30">
      <c r="B6" s="178" t="s">
        <v>338</v>
      </c>
      <c r="C6" s="277">
        <f>'Свод 2021'!K10</f>
        <v>91064.32999999996</v>
      </c>
      <c r="D6" s="278"/>
    </row>
    <row r="7" spans="2:4" ht="15">
      <c r="B7" s="40" t="s">
        <v>339</v>
      </c>
      <c r="C7" s="266">
        <f>'Свод 2021'!L10</f>
        <v>666186.96</v>
      </c>
      <c r="D7" s="267"/>
    </row>
    <row r="8" spans="2:4" ht="15">
      <c r="B8" s="40" t="s">
        <v>340</v>
      </c>
      <c r="C8" s="266">
        <f>'Свод 2021'!M10</f>
        <v>656114.63</v>
      </c>
      <c r="D8" s="267"/>
    </row>
    <row r="9" spans="2:4" ht="15">
      <c r="B9" s="40" t="s">
        <v>127</v>
      </c>
      <c r="C9" s="266">
        <f>'Свод 2021'!N10</f>
        <v>0</v>
      </c>
      <c r="D9" s="267"/>
    </row>
    <row r="10" spans="2:6" ht="28.5">
      <c r="B10" s="41" t="s">
        <v>147</v>
      </c>
      <c r="C10" s="279">
        <f>C6+C7-C8-C9</f>
        <v>101136.65999999992</v>
      </c>
      <c r="D10" s="280"/>
      <c r="E10" s="22">
        <f>'Свод 2021'!O10</f>
        <v>101136.65999999992</v>
      </c>
      <c r="F10" s="125"/>
    </row>
    <row r="11" spans="2:4" ht="30">
      <c r="B11" s="178" t="s">
        <v>323</v>
      </c>
      <c r="C11" s="266">
        <f>'Свод 2021'!Q10</f>
        <v>2501.48</v>
      </c>
      <c r="D11" s="267"/>
    </row>
    <row r="12" spans="2:4" ht="15">
      <c r="B12" s="40" t="s">
        <v>342</v>
      </c>
      <c r="C12" s="266">
        <f>'Свод 2021'!R10</f>
        <v>69907.06</v>
      </c>
      <c r="D12" s="267"/>
    </row>
    <row r="13" spans="2:4" ht="15">
      <c r="B13" s="40" t="s">
        <v>343</v>
      </c>
      <c r="C13" s="266">
        <f>'Свод 2021'!S10</f>
        <v>72427.01</v>
      </c>
      <c r="D13" s="267"/>
    </row>
    <row r="14" spans="2:6" ht="28.5">
      <c r="B14" s="41" t="s">
        <v>151</v>
      </c>
      <c r="C14" s="279">
        <f>C11+C12-C13</f>
        <v>-18.470000000001164</v>
      </c>
      <c r="D14" s="280"/>
      <c r="E14" s="22">
        <f>'Свод 2021'!T10</f>
        <v>-18.470000000001164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2021'!W10</f>
        <v>199437.73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2021'!U10</f>
        <v>2284.88</v>
      </c>
    </row>
    <row r="22" spans="2:4" ht="15">
      <c r="B22" s="46" t="s">
        <v>134</v>
      </c>
      <c r="C22" s="47" t="s">
        <v>60</v>
      </c>
      <c r="D22" s="48">
        <f>'Свод 2021'!V10</f>
        <v>47998.69</v>
      </c>
    </row>
    <row r="23" spans="2:4" ht="30">
      <c r="B23" s="46" t="s">
        <v>161</v>
      </c>
      <c r="C23" s="94" t="s">
        <v>138</v>
      </c>
      <c r="D23" s="48">
        <f>'Свод 2021'!AA10+'Свод 2021'!Z10</f>
        <v>31009.13</v>
      </c>
    </row>
    <row r="24" spans="2:4" ht="28.5" customHeight="1">
      <c r="B24" s="124" t="s">
        <v>141</v>
      </c>
      <c r="C24" s="49" t="s">
        <v>140</v>
      </c>
      <c r="D24" s="207">
        <f>'Свод 2021'!AC10</f>
        <v>1755.6599999999999</v>
      </c>
    </row>
    <row r="25" spans="2:4" ht="28.5" customHeight="1">
      <c r="B25" s="154" t="s">
        <v>142</v>
      </c>
      <c r="C25" s="98" t="s">
        <v>143</v>
      </c>
      <c r="D25" s="207">
        <f>'Свод 2021'!AB10</f>
        <v>1305.65</v>
      </c>
    </row>
    <row r="26" spans="2:4" ht="21.75" customHeight="1">
      <c r="B26" s="200" t="s">
        <v>153</v>
      </c>
      <c r="C26" s="47" t="s">
        <v>59</v>
      </c>
      <c r="D26" s="201">
        <f>'Свод 2021'!AD10</f>
        <v>43724.259999999995</v>
      </c>
    </row>
    <row r="27" spans="2:4" ht="30.75" customHeight="1">
      <c r="B27" s="105" t="s">
        <v>144</v>
      </c>
      <c r="C27" s="164" t="s">
        <v>135</v>
      </c>
      <c r="D27" s="288">
        <f>'Свод 2021'!AE10</f>
        <v>105757.49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2021'!AG10</f>
        <v>47003.33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2021'!AI10</f>
        <v>102114.13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2021'!AK10</f>
        <v>46009.14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2021'!AL10</f>
        <v>37418.61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2021'!AM10</f>
        <v>47656.15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2021'!AJ10</f>
        <v>53205.16</v>
      </c>
      <c r="E42" s="22">
        <f>D43-C8-C13</f>
        <v>38138.37000000001</v>
      </c>
    </row>
    <row r="43" spans="2:5" ht="15" thickBot="1">
      <c r="B43" s="227" t="s">
        <v>252</v>
      </c>
      <c r="C43" s="228"/>
      <c r="D43" s="229">
        <f>SUM(D19:D42)</f>
        <v>766680.01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1" bottom="0.18" header="0.17" footer="0.17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1"/>
  <sheetViews>
    <sheetView zoomScalePageLayoutView="0" workbookViewId="0" topLeftCell="A1">
      <selection activeCell="F19" sqref="F19:G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354</v>
      </c>
      <c r="C3" s="269"/>
      <c r="D3" s="269"/>
    </row>
    <row r="4" spans="2:5" ht="15.75" thickBot="1">
      <c r="B4" s="57" t="s">
        <v>300</v>
      </c>
      <c r="C4" s="224">
        <f>'Свод 2021'!H82</f>
        <v>1334.6</v>
      </c>
      <c r="D4" s="215">
        <f>'Свод 2021'!J82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2021'!H82</f>
        <v>1334.6</v>
      </c>
      <c r="F5" s="22">
        <f>'Свод 2021'!J77</f>
        <v>20.88</v>
      </c>
    </row>
    <row r="6" spans="2:4" ht="30">
      <c r="B6" s="178" t="s">
        <v>338</v>
      </c>
      <c r="C6" s="277">
        <f>'Свод 2021'!K82</f>
        <v>196017.04000000004</v>
      </c>
      <c r="D6" s="278"/>
    </row>
    <row r="7" spans="2:4" ht="15">
      <c r="B7" s="40" t="s">
        <v>339</v>
      </c>
      <c r="C7" s="266">
        <f>'Свод 2021'!L82</f>
        <v>334397.28</v>
      </c>
      <c r="D7" s="267"/>
    </row>
    <row r="8" spans="2:4" ht="15">
      <c r="B8" s="40" t="s">
        <v>340</v>
      </c>
      <c r="C8" s="266">
        <f>'Свод 2021'!M82</f>
        <v>350145.88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180268.44000000006</v>
      </c>
      <c r="D10" s="280"/>
      <c r="E10" s="22">
        <f>'Свод 2021'!O82</f>
        <v>180268.44000000006</v>
      </c>
      <c r="F10" s="125"/>
    </row>
    <row r="11" spans="2:4" ht="30">
      <c r="B11" s="178" t="s">
        <v>323</v>
      </c>
      <c r="C11" s="266">
        <f>'Свод 2021'!Q82</f>
        <v>0</v>
      </c>
      <c r="D11" s="267"/>
    </row>
    <row r="12" spans="2:4" ht="15">
      <c r="B12" s="40" t="s">
        <v>342</v>
      </c>
      <c r="C12" s="266">
        <f>'Свод 2021'!R82</f>
        <v>6288.610000000001</v>
      </c>
      <c r="D12" s="267"/>
    </row>
    <row r="13" spans="2:4" ht="15">
      <c r="B13" s="40" t="s">
        <v>343</v>
      </c>
      <c r="C13" s="266">
        <f>'Свод 2021'!S82</f>
        <v>3577.21</v>
      </c>
      <c r="D13" s="267"/>
    </row>
    <row r="14" spans="2:6" ht="28.5">
      <c r="B14" s="41" t="s">
        <v>151</v>
      </c>
      <c r="C14" s="279">
        <f>C11+C12-C13</f>
        <v>2711.4000000000005</v>
      </c>
      <c r="D14" s="280"/>
      <c r="E14" s="22">
        <f>'Свод 2021'!T82</f>
        <v>2711.4000000000005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2021'!W82</f>
        <v>97852.87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2021'!U82</f>
        <v>1121.06</v>
      </c>
    </row>
    <row r="22" spans="2:4" ht="15">
      <c r="B22" s="46" t="s">
        <v>134</v>
      </c>
      <c r="C22" s="47" t="s">
        <v>60</v>
      </c>
      <c r="D22" s="48">
        <f>'Свод 2021'!V82</f>
        <v>4203.7</v>
      </c>
    </row>
    <row r="23" spans="2:4" ht="30">
      <c r="B23" s="46" t="s">
        <v>161</v>
      </c>
      <c r="C23" s="94" t="s">
        <v>138</v>
      </c>
      <c r="D23" s="48">
        <f>'Свод 2021'!AA82+'Свод 2021'!Z82</f>
        <v>15214.43</v>
      </c>
    </row>
    <row r="24" spans="2:4" ht="28.5" customHeight="1">
      <c r="B24" s="124" t="s">
        <v>141</v>
      </c>
      <c r="C24" s="49" t="s">
        <v>140</v>
      </c>
      <c r="D24" s="207">
        <f>'Свод 2021'!AC82</f>
        <v>1176.06</v>
      </c>
    </row>
    <row r="25" spans="2:4" ht="28.5" customHeight="1">
      <c r="B25" s="154" t="s">
        <v>142</v>
      </c>
      <c r="C25" s="98" t="s">
        <v>143</v>
      </c>
      <c r="D25" s="213">
        <f>'Свод 2021'!AB82</f>
        <v>640.61</v>
      </c>
    </row>
    <row r="26" spans="2:4" ht="21.75" customHeight="1">
      <c r="B26" s="200" t="s">
        <v>153</v>
      </c>
      <c r="C26" s="47" t="s">
        <v>59</v>
      </c>
      <c r="D26" s="201">
        <f>'Свод 2021'!AD82</f>
        <v>17670.59</v>
      </c>
    </row>
    <row r="27" spans="2:4" ht="30.75" customHeight="1">
      <c r="B27" s="105" t="s">
        <v>144</v>
      </c>
      <c r="C27" s="164" t="s">
        <v>135</v>
      </c>
      <c r="D27" s="288">
        <f>'Свод 2021'!AE82</f>
        <v>51889.25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2021'!AG82</f>
        <v>23061.89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2021'!AI82</f>
        <v>59239.27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2021'!AK82</f>
        <v>18214.440000000002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2021'!AL82</f>
        <v>16452.77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2021'!AM82</f>
        <v>23382.19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2021'!AJ82</f>
        <v>26104.78</v>
      </c>
      <c r="E42" s="22">
        <f>D44-C8-C13</f>
        <v>2500.820000000028</v>
      </c>
    </row>
    <row r="43" spans="2:5" ht="15.75" thickBot="1">
      <c r="B43" s="249" t="s">
        <v>308</v>
      </c>
      <c r="C43" s="247"/>
      <c r="D43" s="248"/>
      <c r="E43" s="22"/>
    </row>
    <row r="44" spans="2:4" ht="15" thickBot="1">
      <c r="B44" s="227" t="s">
        <v>252</v>
      </c>
      <c r="C44" s="228"/>
      <c r="D44" s="229">
        <f>SUM(D19:D43)</f>
        <v>356223.91000000003</v>
      </c>
    </row>
    <row r="45" spans="2:4" ht="15" customHeight="1">
      <c r="B45" s="169" t="s">
        <v>145</v>
      </c>
      <c r="C45" s="284" t="s">
        <v>146</v>
      </c>
      <c r="D45" s="285"/>
    </row>
    <row r="46" spans="2:4" ht="52.5" customHeight="1" thickBot="1">
      <c r="B46" s="153" t="s">
        <v>159</v>
      </c>
      <c r="C46" s="286"/>
      <c r="D46" s="287"/>
    </row>
    <row r="47" spans="2:4" ht="14.25">
      <c r="B47" s="274" t="s">
        <v>226</v>
      </c>
      <c r="C47" s="274"/>
      <c r="D47" s="274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68" t="s">
        <v>87</v>
      </c>
      <c r="C50" s="268"/>
      <c r="D50" s="268"/>
    </row>
    <row r="51" spans="2:4" ht="20.25">
      <c r="B51" s="268" t="s">
        <v>50</v>
      </c>
      <c r="C51" s="268"/>
      <c r="D51" s="268"/>
    </row>
    <row r="52" spans="2:4" ht="20.25">
      <c r="B52" s="268" t="s">
        <v>49</v>
      </c>
      <c r="C52" s="268"/>
      <c r="D52" s="268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64</v>
      </c>
      <c r="C55" s="102"/>
    </row>
    <row r="61" ht="20.25">
      <c r="B61" s="103"/>
    </row>
  </sheetData>
  <sheetProtection/>
  <mergeCells count="24">
    <mergeCell ref="D27:D30"/>
    <mergeCell ref="C45:D46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2:D52"/>
    <mergeCell ref="B1:D1"/>
    <mergeCell ref="B2:D2"/>
    <mergeCell ref="B3:D3"/>
    <mergeCell ref="B47:D47"/>
    <mergeCell ref="B50:D50"/>
    <mergeCell ref="B51:D51"/>
    <mergeCell ref="C5:D5"/>
    <mergeCell ref="C6:D6"/>
    <mergeCell ref="C7:D7"/>
  </mergeCells>
  <printOptions/>
  <pageMargins left="0.24" right="0.24" top="0.17" bottom="0.2" header="0.17" footer="0.17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407</v>
      </c>
      <c r="C3" s="269"/>
      <c r="D3" s="269"/>
    </row>
    <row r="4" spans="2:5" ht="15.75" thickBot="1">
      <c r="B4" s="57" t="s">
        <v>301</v>
      </c>
      <c r="C4" s="224">
        <f>'Свод 2021'!H83</f>
        <v>891.2</v>
      </c>
      <c r="D4" s="215">
        <f>'Свод 2021'!J83</f>
        <v>20.88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2021'!H83</f>
        <v>891.2</v>
      </c>
      <c r="F5" s="22">
        <f>'Свод 2021'!J77</f>
        <v>20.88</v>
      </c>
    </row>
    <row r="6" spans="2:4" ht="30">
      <c r="B6" s="178" t="s">
        <v>338</v>
      </c>
      <c r="C6" s="277">
        <f>'Свод 2021'!K83</f>
        <v>55923.97000000003</v>
      </c>
      <c r="D6" s="278"/>
    </row>
    <row r="7" spans="2:4" ht="15">
      <c r="B7" s="40" t="s">
        <v>339</v>
      </c>
      <c r="C7" s="266">
        <f>'Свод 2021'!L83</f>
        <v>223294.82</v>
      </c>
      <c r="D7" s="267"/>
    </row>
    <row r="8" spans="2:4" ht="15">
      <c r="B8" s="40" t="s">
        <v>340</v>
      </c>
      <c r="C8" s="266">
        <f>'Свод 2021'!M83</f>
        <v>189544.75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89674.04000000004</v>
      </c>
      <c r="D10" s="280"/>
      <c r="E10" s="22">
        <f>'Свод 2021'!O83</f>
        <v>89674.04000000004</v>
      </c>
      <c r="F10" s="125"/>
    </row>
    <row r="11" spans="2:4" ht="30">
      <c r="B11" s="178" t="s">
        <v>323</v>
      </c>
      <c r="C11" s="266">
        <f>'Свод 2021'!Q83</f>
        <v>831.29</v>
      </c>
      <c r="D11" s="267"/>
    </row>
    <row r="12" spans="2:4" ht="15">
      <c r="B12" s="40" t="s">
        <v>342</v>
      </c>
      <c r="C12" s="266">
        <f>'Свод 2021'!R83</f>
        <v>18601.22</v>
      </c>
      <c r="D12" s="267"/>
    </row>
    <row r="13" spans="2:4" ht="15">
      <c r="B13" s="40" t="s">
        <v>343</v>
      </c>
      <c r="C13" s="266">
        <f>'Свод 2021'!S83</f>
        <v>18805.41</v>
      </c>
      <c r="D13" s="267"/>
    </row>
    <row r="14" spans="2:6" ht="28.5">
      <c r="B14" s="41" t="s">
        <v>151</v>
      </c>
      <c r="C14" s="279">
        <f>C11+C12-C13</f>
        <v>627.1000000000022</v>
      </c>
      <c r="D14" s="280"/>
      <c r="E14" s="22">
        <f>'Свод 2021'!T83</f>
        <v>627.1000000000022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367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2021'!W83</f>
        <v>65342.78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2021'!U83</f>
        <v>748.61</v>
      </c>
    </row>
    <row r="22" spans="2:4" ht="15">
      <c r="B22" s="46" t="s">
        <v>134</v>
      </c>
      <c r="C22" s="47" t="s">
        <v>60</v>
      </c>
      <c r="D22" s="48">
        <f>'Свод 2021'!V83</f>
        <v>10959.01</v>
      </c>
    </row>
    <row r="23" spans="2:4" ht="30">
      <c r="B23" s="46" t="s">
        <v>161</v>
      </c>
      <c r="C23" s="94" t="s">
        <v>138</v>
      </c>
      <c r="D23" s="48">
        <f>'Свод 2021'!AA83+'Свод 2021'!Z83</f>
        <v>10159.68</v>
      </c>
    </row>
    <row r="24" spans="2:4" ht="28.5" customHeight="1">
      <c r="B24" s="124" t="s">
        <v>141</v>
      </c>
      <c r="C24" s="49" t="s">
        <v>140</v>
      </c>
      <c r="D24" s="243">
        <f>'Свод 2021'!AC83</f>
        <v>636.5899999999999</v>
      </c>
    </row>
    <row r="25" spans="2:4" ht="28.5" customHeight="1">
      <c r="B25" s="154" t="s">
        <v>142</v>
      </c>
      <c r="C25" s="98" t="s">
        <v>143</v>
      </c>
      <c r="D25" s="244">
        <f>'Свод 2021'!AB83</f>
        <v>427.78</v>
      </c>
    </row>
    <row r="26" spans="2:4" ht="21.75" customHeight="1">
      <c r="B26" s="200" t="s">
        <v>153</v>
      </c>
      <c r="C26" s="47" t="s">
        <v>59</v>
      </c>
      <c r="D26" s="201">
        <f>'Свод 2021'!AD83</f>
        <v>9411.07</v>
      </c>
    </row>
    <row r="27" spans="2:4" ht="30.75" customHeight="1">
      <c r="B27" s="105" t="s">
        <v>144</v>
      </c>
      <c r="C27" s="164" t="s">
        <v>135</v>
      </c>
      <c r="D27" s="288">
        <f>'Свод 2021'!AE83</f>
        <v>34649.86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2021'!AG83</f>
        <v>15399.94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2021'!AI83</f>
        <v>33259.58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2021'!AK83</f>
        <v>10159.68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2021'!AL83</f>
        <v>8983.3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2021'!AM83</f>
        <v>15613.82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2021'!AJ83</f>
        <v>17431.87</v>
      </c>
      <c r="E42" s="22">
        <f>D43-C8-C13</f>
        <v>24833.410000000007</v>
      </c>
    </row>
    <row r="43" spans="2:4" ht="15" thickBot="1">
      <c r="B43" s="227" t="s">
        <v>252</v>
      </c>
      <c r="C43" s="228"/>
      <c r="D43" s="229">
        <f>SUM(D19:D42)</f>
        <v>233183.57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D27:D30"/>
    <mergeCell ref="C44:D45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</mergeCells>
  <printOptions/>
  <pageMargins left="0.24" right="0.24" top="0.17" bottom="0.23" header="0.17" footer="0.18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1">
      <selection activeCell="E43" sqref="E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303</v>
      </c>
      <c r="C3" s="269"/>
      <c r="D3" s="269"/>
    </row>
    <row r="4" spans="2:5" ht="15.75" thickBot="1">
      <c r="B4" s="57" t="s">
        <v>302</v>
      </c>
      <c r="C4" s="224" t="e">
        <f>'Свод 2021'!#REF!</f>
        <v>#REF!</v>
      </c>
      <c r="D4" s="215" t="e">
        <f>'Свод 2021'!#REF!</f>
        <v>#REF!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 t="e">
        <f>'Свод 2021'!#REF!</f>
        <v>#REF!</v>
      </c>
      <c r="F5" s="22">
        <f>'Свод 2021'!J77</f>
        <v>20.88</v>
      </c>
    </row>
    <row r="6" spans="2:4" ht="30">
      <c r="B6" s="178" t="s">
        <v>200</v>
      </c>
      <c r="C6" s="277" t="e">
        <f>'Свод 2021'!#REF!</f>
        <v>#REF!</v>
      </c>
      <c r="D6" s="278"/>
    </row>
    <row r="7" spans="2:4" ht="15">
      <c r="B7" s="40" t="s">
        <v>201</v>
      </c>
      <c r="C7" s="266" t="e">
        <f>'Свод 2021'!#REF!</f>
        <v>#REF!</v>
      </c>
      <c r="D7" s="267"/>
    </row>
    <row r="8" spans="2:4" ht="15">
      <c r="B8" s="40" t="s">
        <v>202</v>
      </c>
      <c r="C8" s="266" t="e">
        <f>'Свод 2021'!#REF!</f>
        <v>#REF!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 t="e">
        <f>C6+C7-C8+C9</f>
        <v>#REF!</v>
      </c>
      <c r="D10" s="280"/>
      <c r="E10" s="22" t="e">
        <f>'Свод 2021'!#REF!</f>
        <v>#REF!</v>
      </c>
      <c r="F10" s="125"/>
    </row>
    <row r="11" spans="2:4" ht="30">
      <c r="B11" s="178" t="s">
        <v>203</v>
      </c>
      <c r="C11" s="266" t="e">
        <f>'Свод 2021'!#REF!</f>
        <v>#REF!</v>
      </c>
      <c r="D11" s="267"/>
    </row>
    <row r="12" spans="2:4" ht="15">
      <c r="B12" s="40" t="s">
        <v>204</v>
      </c>
      <c r="C12" s="266" t="e">
        <f>'Свод 2021'!#REF!</f>
        <v>#REF!</v>
      </c>
      <c r="D12" s="267"/>
    </row>
    <row r="13" spans="2:4" ht="15">
      <c r="B13" s="40" t="s">
        <v>205</v>
      </c>
      <c r="C13" s="266" t="e">
        <f>'Свод 2021'!#REF!</f>
        <v>#REF!</v>
      </c>
      <c r="D13" s="267"/>
    </row>
    <row r="14" spans="2:6" ht="28.5">
      <c r="B14" s="41" t="s">
        <v>151</v>
      </c>
      <c r="C14" s="279" t="e">
        <f>C11+C12-C13</f>
        <v>#REF!</v>
      </c>
      <c r="D14" s="280"/>
      <c r="E14" s="22" t="e">
        <f>'Свод 2021'!#REF!</f>
        <v>#REF!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228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 t="e">
        <f>'Свод 2021'!#REF!</f>
        <v>#REF!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 t="e">
        <f>'Свод 2021'!#REF!</f>
        <v>#REF!</v>
      </c>
    </row>
    <row r="22" spans="2:4" ht="15">
      <c r="B22" s="46" t="s">
        <v>134</v>
      </c>
      <c r="C22" s="47" t="s">
        <v>60</v>
      </c>
      <c r="D22" s="48" t="e">
        <f>'Свод 2021'!#REF!</f>
        <v>#REF!</v>
      </c>
    </row>
    <row r="23" spans="2:4" ht="30">
      <c r="B23" s="46" t="s">
        <v>161</v>
      </c>
      <c r="C23" s="94" t="s">
        <v>138</v>
      </c>
      <c r="D23" s="48" t="e">
        <f>'Свод 2021'!#REF!+'Свод 2021'!#REF!</f>
        <v>#REF!</v>
      </c>
    </row>
    <row r="24" spans="2:4" ht="28.5" customHeight="1">
      <c r="B24" s="124" t="s">
        <v>141</v>
      </c>
      <c r="C24" s="49" t="s">
        <v>140</v>
      </c>
      <c r="D24" s="207" t="e">
        <f>'Свод 2021'!#REF!</f>
        <v>#REF!</v>
      </c>
    </row>
    <row r="25" spans="2:4" ht="28.5" customHeight="1">
      <c r="B25" s="154" t="s">
        <v>142</v>
      </c>
      <c r="C25" s="98" t="s">
        <v>143</v>
      </c>
      <c r="D25" s="213" t="e">
        <f>'Свод 2021'!#REF!</f>
        <v>#REF!</v>
      </c>
    </row>
    <row r="26" spans="2:4" ht="21.75" customHeight="1">
      <c r="B26" s="200" t="s">
        <v>153</v>
      </c>
      <c r="C26" s="47" t="s">
        <v>59</v>
      </c>
      <c r="D26" s="201" t="e">
        <f>'Свод 2021'!#REF!</f>
        <v>#REF!</v>
      </c>
    </row>
    <row r="27" spans="2:4" ht="30.75" customHeight="1">
      <c r="B27" s="105" t="s">
        <v>144</v>
      </c>
      <c r="C27" s="164" t="s">
        <v>135</v>
      </c>
      <c r="D27" s="288" t="e">
        <f>'Свод 2021'!#REF!</f>
        <v>#REF!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 t="e">
        <f>'Свод 2021'!#REF!</f>
        <v>#REF!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 t="e">
        <f>'Свод 2021'!#REF!</f>
        <v>#REF!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 t="e">
        <f>'Свод 2021'!#REF!</f>
        <v>#REF!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 t="e">
        <f>'Свод 2021'!#REF!</f>
        <v>#REF!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 t="e">
        <f>'Свод 2021'!#REF!</f>
        <v>#REF!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 t="e">
        <f>'Свод 2021'!#REF!</f>
        <v>#REF!</v>
      </c>
      <c r="E42" s="22" t="e">
        <f>D43-C8-C13</f>
        <v>#REF!</v>
      </c>
    </row>
    <row r="43" spans="2:4" ht="15" thickBot="1">
      <c r="B43" s="227" t="s">
        <v>252</v>
      </c>
      <c r="C43" s="228"/>
      <c r="D43" s="229" t="e">
        <f>SUM(D19:D42)</f>
        <v>#REF!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D27:D30"/>
    <mergeCell ref="C44:D45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355</v>
      </c>
      <c r="C3" s="269"/>
      <c r="D3" s="269"/>
    </row>
    <row r="4" spans="2:5" ht="15.75" thickBot="1">
      <c r="B4" s="57" t="s">
        <v>304</v>
      </c>
      <c r="C4" s="224">
        <f>'Свод 2021'!H84</f>
        <v>614.3</v>
      </c>
      <c r="D4" s="215">
        <f>'Свод 2021'!J84</f>
        <v>17.64</v>
      </c>
      <c r="E4" s="22"/>
    </row>
    <row r="5" spans="2:6" ht="31.5" customHeight="1" thickBot="1">
      <c r="B5" s="36" t="s">
        <v>54</v>
      </c>
      <c r="C5" s="275" t="s">
        <v>150</v>
      </c>
      <c r="D5" s="276"/>
      <c r="E5" s="22">
        <f>'Свод 2021'!H84</f>
        <v>614.3</v>
      </c>
      <c r="F5" s="22">
        <f>'Свод 2021'!J84</f>
        <v>17.64</v>
      </c>
    </row>
    <row r="6" spans="2:4" ht="30">
      <c r="B6" s="178" t="s">
        <v>338</v>
      </c>
      <c r="C6" s="277">
        <f>'Свод 2021'!K84</f>
        <v>143483.37</v>
      </c>
      <c r="D6" s="278"/>
    </row>
    <row r="7" spans="2:4" ht="15">
      <c r="B7" s="40" t="s">
        <v>339</v>
      </c>
      <c r="C7" s="266">
        <f>'Свод 2021'!L84</f>
        <v>130035.12</v>
      </c>
      <c r="D7" s="267"/>
    </row>
    <row r="8" spans="2:4" ht="15">
      <c r="B8" s="40" t="s">
        <v>340</v>
      </c>
      <c r="C8" s="266">
        <f>'Свод 2021'!M84</f>
        <v>109904.07</v>
      </c>
      <c r="D8" s="267"/>
    </row>
    <row r="9" spans="2:4" ht="15">
      <c r="B9" s="40" t="s">
        <v>127</v>
      </c>
      <c r="C9" s="266">
        <f>'Свод 2021'!N77</f>
        <v>0</v>
      </c>
      <c r="D9" s="267"/>
    </row>
    <row r="10" spans="2:6" ht="28.5">
      <c r="B10" s="41" t="s">
        <v>147</v>
      </c>
      <c r="C10" s="279">
        <f>C6+C7-C8+C9</f>
        <v>163614.41999999998</v>
      </c>
      <c r="D10" s="280"/>
      <c r="E10" s="22">
        <f>'Свод 2021'!O84</f>
        <v>163614.41999999998</v>
      </c>
      <c r="F10" s="125"/>
    </row>
    <row r="11" spans="2:4" ht="30">
      <c r="B11" s="178" t="s">
        <v>323</v>
      </c>
      <c r="C11" s="266">
        <f>'Свод 2021'!Q84</f>
        <v>0</v>
      </c>
      <c r="D11" s="267"/>
    </row>
    <row r="12" spans="2:4" ht="15">
      <c r="B12" s="40" t="s">
        <v>342</v>
      </c>
      <c r="C12" s="266">
        <f>'Свод 2021'!R84</f>
        <v>3537.5</v>
      </c>
      <c r="D12" s="267"/>
    </row>
    <row r="13" spans="2:4" ht="15">
      <c r="B13" s="40" t="s">
        <v>343</v>
      </c>
      <c r="C13" s="266">
        <f>'Свод 2021'!S84</f>
        <v>3187.5</v>
      </c>
      <c r="D13" s="267"/>
    </row>
    <row r="14" spans="2:6" ht="28.5">
      <c r="B14" s="41" t="s">
        <v>151</v>
      </c>
      <c r="C14" s="279">
        <f>C11+C12-C13</f>
        <v>350</v>
      </c>
      <c r="D14" s="280"/>
      <c r="E14" s="22">
        <f>'Свод 2021'!T84</f>
        <v>350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2021'!W84</f>
        <v>45040.48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2021'!U84</f>
        <v>516.01</v>
      </c>
    </row>
    <row r="22" spans="2:4" ht="15">
      <c r="B22" s="46" t="s">
        <v>134</v>
      </c>
      <c r="C22" s="47" t="s">
        <v>60</v>
      </c>
      <c r="D22" s="48">
        <f>'Свод 2021'!V84</f>
        <v>26415.29</v>
      </c>
    </row>
    <row r="23" spans="2:4" ht="30">
      <c r="B23" s="46" t="s">
        <v>161</v>
      </c>
      <c r="C23" s="94" t="s">
        <v>138</v>
      </c>
      <c r="D23" s="48">
        <f>'Свод 2021'!AA84+'Свод 2021'!Z84</f>
        <v>7003.02</v>
      </c>
    </row>
    <row r="24" spans="2:4" ht="28.5" customHeight="1">
      <c r="B24" s="124" t="s">
        <v>141</v>
      </c>
      <c r="C24" s="49" t="s">
        <v>140</v>
      </c>
      <c r="D24" s="207">
        <f>'Свод 2021'!AC84</f>
        <v>1663.25</v>
      </c>
    </row>
    <row r="25" spans="2:4" ht="28.5" customHeight="1">
      <c r="B25" s="154" t="s">
        <v>142</v>
      </c>
      <c r="C25" s="98" t="s">
        <v>143</v>
      </c>
      <c r="D25" s="213">
        <f>'Свод 2021'!AB84</f>
        <v>294.86</v>
      </c>
    </row>
    <row r="26" spans="2:4" ht="21.75" customHeight="1">
      <c r="B26" s="200" t="s">
        <v>153</v>
      </c>
      <c r="C26" s="47" t="s">
        <v>59</v>
      </c>
      <c r="D26" s="201">
        <f>'Свод 2021'!AD84</f>
        <v>6487.01</v>
      </c>
    </row>
    <row r="27" spans="2:4" ht="30.75" customHeight="1">
      <c r="B27" s="105" t="s">
        <v>144</v>
      </c>
      <c r="C27" s="164" t="s">
        <v>135</v>
      </c>
      <c r="D27" s="288">
        <f>'Свод 2021'!AE84</f>
        <v>0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2021'!AG84</f>
        <v>10615.1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2021'!AI84</f>
        <v>22925.68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2021'!AK84</f>
        <v>7003.02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2021'!AL84</f>
        <v>6192.14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2021'!AM84</f>
        <v>10762.54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2021'!AJ84</f>
        <v>12015.71</v>
      </c>
      <c r="E42" s="22">
        <f>D43-C8-C13</f>
        <v>43842.54000000001</v>
      </c>
    </row>
    <row r="43" spans="2:4" ht="15.75" thickBot="1">
      <c r="B43" s="227" t="s">
        <v>252</v>
      </c>
      <c r="C43" s="225"/>
      <c r="D43" s="226">
        <f>SUM(D19:D42)</f>
        <v>156934.11000000002</v>
      </c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</mergeCells>
  <printOptions/>
  <pageMargins left="0.2362204724409449" right="0.2362204724409449" top="0.5511811023622047" bottom="0.6299212598425197" header="0.15748031496062992" footer="0.1574803149606299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55.875" style="0" customWidth="1"/>
    <col min="2" max="2" width="17.25390625" style="0" customWidth="1"/>
    <col min="3" max="3" width="17.125" style="0" customWidth="1"/>
    <col min="4" max="4" width="12.75390625" style="0" bestFit="1" customWidth="1"/>
    <col min="5" max="5" width="56.00390625" style="0" customWidth="1"/>
    <col min="6" max="6" width="16.00390625" style="0" customWidth="1"/>
    <col min="7" max="7" width="16.625" style="0" customWidth="1"/>
  </cols>
  <sheetData>
    <row r="2" spans="1:7" ht="12.75">
      <c r="A2" s="302" t="s">
        <v>95</v>
      </c>
      <c r="B2" s="302"/>
      <c r="C2" s="302"/>
      <c r="E2" s="303" t="s">
        <v>101</v>
      </c>
      <c r="F2" s="303"/>
      <c r="G2" s="303"/>
    </row>
    <row r="3" ht="13.5" thickBot="1"/>
    <row r="4" spans="1:7" ht="30.75" thickBot="1">
      <c r="A4" s="36" t="s">
        <v>54</v>
      </c>
      <c r="B4" s="117" t="s">
        <v>55</v>
      </c>
      <c r="C4" s="118" t="s">
        <v>71</v>
      </c>
      <c r="E4" s="36" t="s">
        <v>54</v>
      </c>
      <c r="F4" s="117" t="s">
        <v>55</v>
      </c>
      <c r="G4" s="118" t="s">
        <v>71</v>
      </c>
    </row>
    <row r="5" spans="1:7" ht="15">
      <c r="A5" s="39" t="s">
        <v>99</v>
      </c>
      <c r="B5" s="92" t="e">
        <f>'Свод 2021'!#REF!-'Свод 2021'!#REF!-'Свод 2021'!#REF!-'Свод 2021'!#REF!-'Свод 2021'!#REF!-'Свод 2021'!#REF!</f>
        <v>#REF!</v>
      </c>
      <c r="C5" s="92"/>
      <c r="D5" s="22"/>
      <c r="E5" s="39" t="s">
        <v>99</v>
      </c>
      <c r="F5" s="92" t="e">
        <f>B5+B26</f>
        <v>#REF!</v>
      </c>
      <c r="G5" s="92"/>
    </row>
    <row r="6" spans="1:7" ht="15">
      <c r="A6" s="39" t="s">
        <v>91</v>
      </c>
      <c r="B6" s="92"/>
      <c r="C6" s="92" t="e">
        <f>'Свод 2021'!#REF!-'Свод 2021'!#REF!-'Свод 2021'!#REF!-'Свод 2021'!#REF!-'Свод 2021'!#REF!-'Свод 2021'!#REF!</f>
        <v>#REF!</v>
      </c>
      <c r="E6" s="39" t="s">
        <v>91</v>
      </c>
      <c r="F6" s="92"/>
      <c r="G6" s="92" t="e">
        <f>C6+C27</f>
        <v>#REF!</v>
      </c>
    </row>
    <row r="7" spans="1:7" ht="15">
      <c r="A7" s="40" t="s">
        <v>96</v>
      </c>
      <c r="B7" s="92" t="e">
        <f>'Свод 2021'!L86-'Свод 2021'!L52-'Свод 2021'!L53-'Свод 2021'!L34-'Свод 2021'!L17-'Свод 2021'!#REF!</f>
        <v>#REF!</v>
      </c>
      <c r="C7" s="92" t="e">
        <f>'Свод 2021'!#REF!-'Свод 2021'!#REF!-'Свод 2021'!#REF!-'Свод 2021'!#REF!-'Свод 2021'!#REF!-'Свод 2021'!#REF!</f>
        <v>#REF!</v>
      </c>
      <c r="E7" s="40" t="s">
        <v>96</v>
      </c>
      <c r="F7" s="92" t="e">
        <f>B7+B28</f>
        <v>#REF!</v>
      </c>
      <c r="G7" s="92" t="e">
        <f>C7+C28</f>
        <v>#REF!</v>
      </c>
    </row>
    <row r="8" spans="1:7" ht="15">
      <c r="A8" s="40" t="s">
        <v>3</v>
      </c>
      <c r="B8" s="92" t="e">
        <f>'Свод 2021'!M86-'Свод 2021'!M53-'Свод 2021'!M52-'Свод 2021'!M34-'Свод 2021'!M17-'Свод 2021'!#REF!</f>
        <v>#REF!</v>
      </c>
      <c r="C8" s="92" t="e">
        <f>'Свод 2021'!#REF!-'Свод 2021'!#REF!-'Свод 2021'!#REF!-'Свод 2021'!#REF!-'Свод 2021'!#REF!-'Свод 2021'!#REF!</f>
        <v>#REF!</v>
      </c>
      <c r="E8" s="40" t="s">
        <v>3</v>
      </c>
      <c r="F8" s="92" t="e">
        <f>B8+B29</f>
        <v>#REF!</v>
      </c>
      <c r="G8" s="92" t="e">
        <f>C8+C29</f>
        <v>#REF!</v>
      </c>
    </row>
    <row r="9" spans="1:7" ht="15">
      <c r="A9" s="40" t="s">
        <v>86</v>
      </c>
      <c r="B9" s="92" t="e">
        <f>'Свод 2021'!N86-'Свод 2021'!N53-'Свод 2021'!N52-'Свод 2021'!N34-'Свод 2021'!N17-'Свод 2021'!#REF!</f>
        <v>#REF!</v>
      </c>
      <c r="C9" s="92" t="e">
        <f>'Свод 2021'!#REF!-'Свод 2021'!#REF!-'Свод 2021'!#REF!-'Свод 2021'!#REF!-'Свод 2021'!#REF!-'Свод 2021'!#REF!</f>
        <v>#REF!</v>
      </c>
      <c r="E9" s="40" t="s">
        <v>86</v>
      </c>
      <c r="F9" s="92" t="e">
        <f>B9+B30</f>
        <v>#REF!</v>
      </c>
      <c r="G9" s="92" t="e">
        <f>C9+C30</f>
        <v>#REF!</v>
      </c>
    </row>
    <row r="10" spans="1:7" ht="15">
      <c r="A10" s="40" t="s">
        <v>62</v>
      </c>
      <c r="B10" s="92"/>
      <c r="C10" s="61" t="e">
        <f>C6+C8</f>
        <v>#REF!</v>
      </c>
      <c r="E10" s="40" t="s">
        <v>62</v>
      </c>
      <c r="F10" s="92"/>
      <c r="G10" s="61" t="e">
        <f>C31+C10</f>
        <v>#REF!</v>
      </c>
    </row>
    <row r="11" spans="1:7" ht="15">
      <c r="A11" s="40" t="s">
        <v>36</v>
      </c>
      <c r="B11" s="61" t="e">
        <f>'Свод 2021'!O86-'Свод 2021'!O53-'Свод 2021'!O52-'Свод 2021'!O34-'Свод 2021'!O17-'Свод 2021'!#REF!</f>
        <v>#REF!</v>
      </c>
      <c r="C11" s="92" t="e">
        <f>'Свод 2021'!#REF!-'Свод 2021'!#REF!-'Свод 2021'!#REF!-'Свод 2021'!#REF!-'Свод 2021'!#REF!-'Свод 2021'!#REF!</f>
        <v>#REF!</v>
      </c>
      <c r="E11" s="40" t="s">
        <v>36</v>
      </c>
      <c r="F11" s="61" t="e">
        <f>B11+B32</f>
        <v>#REF!</v>
      </c>
      <c r="G11" s="92" t="e">
        <f>C11+C32</f>
        <v>#REF!</v>
      </c>
    </row>
    <row r="12" spans="1:7" ht="30">
      <c r="A12" s="40" t="s">
        <v>98</v>
      </c>
      <c r="B12" s="92" t="e">
        <f>'Свод 2021'!R86-'Свод 2021'!R53-'Свод 2021'!R52-'Свод 2021'!R34-'Свод 2021'!R17-'Свод 2021'!#REF!</f>
        <v>#REF!</v>
      </c>
      <c r="C12" s="4"/>
      <c r="E12" s="40" t="s">
        <v>98</v>
      </c>
      <c r="F12" s="92" t="e">
        <f>B12+B33</f>
        <v>#REF!</v>
      </c>
      <c r="G12" s="4"/>
    </row>
    <row r="13" spans="1:7" ht="15">
      <c r="A13" s="40" t="s">
        <v>100</v>
      </c>
      <c r="B13" s="61" t="e">
        <f>'Свод 2021'!#REF!-'Свод 2021'!#REF!-'Свод 2021'!#REF!-'Свод 2021'!#REF!-'Свод 2021'!#REF!-'Свод 2021'!#REF!</f>
        <v>#REF!</v>
      </c>
      <c r="C13" s="92" t="e">
        <f>'1.  Анкудинова 1 '!D13+'2.  Анкудинова 3'!D13+'3.  Анкудинова 5'!C13+'4.  Анкудинова 7'!C13+'5.  Анкудинова 9'!C13+'6.  Анкудинова 11'!C13+'7.  Анкудинова 13'!C13+#REF!+'9.  Анкудинова 17'!C13+'10.  Анкудинова 3Б'!C13+'11.  Анкудинова 5А'!C13+'12.  Анкудинова  11А '!C13+'13.  Анкудинова 17А '!C13+'14. Тихоокеанская 27'!C13+'15. Горького 12'!C13+'16. Горького 14'!C13+'17. Горького 16'!C13+'18. Горького 18'!C13+'19. Горького 20'!C13+'20. Горького 22'!C13+'21. Горького 14А'!C13+#REF!+'23. Комсомольская 165'!C13+'24. Комсомольская 167'!C13+'25. Комсомольская 169'!C13+#REF!+#REF!+'28.  Комсомольская 191'!C13+'29.  Комсомольская 193'!C13+'30.  Комсомольская 195'!C13+#REF!+'32. Комсомольская 167А'!C13+#REF!+#REF!+'35.  пр.Мира 157'!C13+'36.  пр .Мира 161'!C13+'37.  пр.Мира 163'!C13+'38. Мира 161-А'!C13+'39.  пр.Мира 163А '!C13+'40. Победы 4 '!C13+'41. Победы 6'!C13+'42. Победы 6-Б'!C13+'43. Победы 8'!C13+'44. Победы 10'!C14+'45. Победы 10-Б'!C14+'46. Победы 12'!C13+'47. Победы 14'!C13+'48. Победы 16'!C13+'49. Победы 18'!C13+'50. Победы 26'!C13+'51. Победы 48'!C13+'52.  пр.Победы 50'!C13+#REF!+'54.  пр.Победы 12А '!C13+#REF!+#REF!+#REF!+#REF!+#REF!+#REF!+#REF!+'62.  Поповича 14'!C13+#REF!+#REF!+#REF!+#REF!+#REF!+'68.  Поповича 25 '!C13+#REF!+#REF!+'71.  Поповича 43'!C13+'72.  Поповича 45'!C13+'73.  Поповича 47'!C13+#REF!+#REF!+#REF!+#REF!+#REF!+#REF!+'80.  Поповича 18А'!C15+#REF!+#REF!+#REF!+#REF!+#REF!+#REF!+'87.  Поповича 20А'!C13+#REF!+#REF!+#REF!+'91.  Поповича 22А'!C13+#REF!+#REF!+'94.  Поповича 24А'!C13+'95.  Поповича 43А'!C13+'96.  Поповича 45А'!C13+#REF!+'98.  Физкультурная 122'!C13+'99.  Физкультурная 124'!C13+'100.  Физкультурная 126'!C13+'101.  Физкультурная 128'!C13+'102.  Физкультурная 130'!C13+'103.  Физкультурная 124А'!C13+#REF!+'105.  Физкультурная 126А'!C13+'106.  Физкультурная 126Б'!C13</f>
        <v>#REF!</v>
      </c>
      <c r="E13" s="40" t="s">
        <v>100</v>
      </c>
      <c r="F13" s="61" t="e">
        <f>B13+B34</f>
        <v>#REF!</v>
      </c>
      <c r="G13" s="92" t="e">
        <f>'1.  Анкудинова 1 '!I13+'2.  Анкудинова 3'!I13+'3.  Анкудинова 5'!H13+'4.  Анкудинова 7'!H13+'5.  Анкудинова 9'!H13+'6.  Анкудинова 11'!H13+'7.  Анкудинова 13'!H13+#REF!+'9.  Анкудинова 17'!H13+'10.  Анкудинова 3Б'!H13+'11.  Анкудинова 5А'!H13+'12.  Анкудинова  11А '!H13+'13.  Анкудинова 17А '!H13+'14. Тихоокеанская 27'!H13+'15. Горького 12'!H13+'16. Горького 14'!H13+'17. Горького 16'!H13+'18. Горького 18'!H13+'19. Горького 20'!H13+'20. Горького 22'!H13+'21. Горького 14А'!H13+#REF!+'23. Комсомольская 165'!H13+'24. Комсомольская 167'!H13+'25. Комсомольская 169'!H13+#REF!+#REF!+'28.  Комсомольская 191'!H13+'29.  Комсомольская 193'!H13+'30.  Комсомольская 195'!H13+#REF!+'32. Комсомольская 167А'!H13+#REF!+#REF!+'35.  пр.Мира 157'!H13+'36.  пр .Мира 161'!H13+'37.  пр.Мира 163'!H13+'38. Мира 161-А'!H13+'39.  пр.Мира 163А '!H13+'40. Победы 4 '!H13+'41. Победы 6'!H13+'42. Победы 6-Б'!H13+'43. Победы 8'!H13+'44. Победы 10'!H14+'45. Победы 10-Б'!H14+'46. Победы 12'!H13+'47. Победы 14'!H13+'48. Победы 16'!H13+'49. Победы 18'!H13+'50. Победы 26'!H13+'51. Победы 48'!H13+'52.  пр.Победы 50'!H13+#REF!+'54.  пр.Победы 12А '!H13+#REF!+#REF!+#REF!+#REF!+#REF!+#REF!+#REF!+'62.  Поповича 14'!H13+#REF!+#REF!+#REF!+#REF!+#REF!+'68.  Поповича 25 '!H13+#REF!+#REF!+'71.  Поповича 43'!H13+'72.  Поповича 45'!H13+'73.  Поповича 47'!H13+#REF!+#REF!+#REF!+#REF!+#REF!+#REF!+'80.  Поповича 18А'!H15+#REF!+#REF!+#REF!+#REF!+#REF!+#REF!+'87.  Поповича 20А'!H13+#REF!+#REF!+#REF!+'91.  Поповича 22А'!H13+#REF!+#REF!+'94.  Поповича 24А'!H13+'95.  Поповича 43А'!H13+'96.  Поповича 45А'!H13+#REF!+'98.  Физкультурная 122'!H13+'99.  Физкультурная 124'!H13+'100.  Физкультурная 126'!H13+'101.  Физкультурная 128'!H13+'102.  Физкультурная 130'!H13+'103.  Физкультурная 124А'!H13+#REF!+'105.  Физкультурная 126А'!H13+'106.  Физкультурная 126Б'!H13</f>
        <v>#REF!</v>
      </c>
    </row>
    <row r="14" spans="1:7" ht="15">
      <c r="A14" s="40" t="s">
        <v>85</v>
      </c>
      <c r="B14" s="61" t="e">
        <f>'Свод 2021'!#REF!-'Свод 2021'!#REF!-'Свод 2021'!#REF!-'Свод 2021'!#REF!-'Свод 2021'!#REF!-'Свод 2021'!#REF!</f>
        <v>#REF!</v>
      </c>
      <c r="C14" s="92" t="e">
        <f>'Свод 2021'!#REF!-'Свод 2021'!#REF!-'Свод 2021'!#REF!-'Свод 2021'!#REF!-'Свод 2021'!#REF!-'Свод 2021'!#REF!</f>
        <v>#REF!</v>
      </c>
      <c r="E14" s="40" t="s">
        <v>85</v>
      </c>
      <c r="F14" s="61" t="e">
        <f>B14+B35</f>
        <v>#REF!</v>
      </c>
      <c r="G14" s="92" t="e">
        <f>C14+C35</f>
        <v>#REF!</v>
      </c>
    </row>
    <row r="15" spans="1:7" ht="15">
      <c r="A15" s="42" t="s">
        <v>2</v>
      </c>
      <c r="B15" s="92">
        <v>0</v>
      </c>
      <c r="C15" s="92" t="e">
        <f>'Свод 2021'!#REF!-'Свод 2021'!#REF!-'Свод 2021'!#REF!-'Свод 2021'!#REF!-'Свод 2021'!#REF!-'Свод 2021'!#REF!</f>
        <v>#REF!</v>
      </c>
      <c r="E15" s="42" t="s">
        <v>2</v>
      </c>
      <c r="F15" s="92">
        <v>0</v>
      </c>
      <c r="G15" s="92" t="e">
        <f>C15+C36</f>
        <v>#REF!</v>
      </c>
    </row>
    <row r="16" spans="1:7" ht="15">
      <c r="A16" s="42" t="s">
        <v>63</v>
      </c>
      <c r="B16" s="92" t="e">
        <f>'1.  Анкудинова 1 '!#REF!+'2.  Анкудинова 3'!C16+'3.  Анкудинова 5'!B16+'4.  Анкудинова 7'!B16+'5.  Анкудинова 9'!B16+'6.  Анкудинова 11'!B16+'7.  Анкудинова 13'!B16+#REF!+'9.  Анкудинова 17'!B16+'10.  Анкудинова 3Б'!B16+'11.  Анкудинова 5А'!B16+'12.  Анкудинова  11А '!B16+'13.  Анкудинова 17А '!B16+'14. Тихоокеанская 27'!B16+'15. Горького 12'!B16+'16. Горького 14'!B16+'17. Горького 16'!B16+'18. Горького 18'!B16+'19. Горького 20'!B16+'20. Горького 22'!B16+'21. Горького 14А'!B16+#REF!+'23. Комсомольская 165'!B16+'24. Комсомольская 167'!B16+'25. Комсомольская 169'!B16+#REF!+#REF!+'28.  Комсомольская 191'!B16+'29.  Комсомольская 193'!B16+'30.  Комсомольская 195'!B16+#REF!+'32. Комсомольская 167А'!B16+#REF!+#REF!+'35.  пр.Мира 157'!B16+'36.  пр .Мира 161'!B16+'37.  пр.Мира 163'!B16+'38. Мира 161-А'!B16+'39.  пр.Мира 163А '!B16+'40. Победы 4 '!B16+'41. Победы 6'!B16+'42. Победы 6-Б'!B16+'43. Победы 8'!B16+'44. Победы 10'!B17+'45. Победы 10-Б'!B17+'46. Победы 12'!B16+'47. Победы 14'!B16+'48. Победы 16'!B16+'49. Победы 18'!B16+'50. Победы 26'!B16+'51. Победы 48'!B16+'52.  пр.Победы 50'!B16+#REF!+'54.  пр.Победы 12А '!B16+#REF!+#REF!+#REF!+#REF!+#REF!+#REF!+#REF!+'62.  Поповича 14'!B16+#REF!+#REF!+#REF!+#REF!+#REF!+'68.  Поповича 25 '!B16+#REF!+#REF!+'71.  Поповича 43'!B16+'72.  Поповича 45'!B16+'73.  Поповича 47'!B16+#REF!+#REF!+#REF!+#REF!+#REF!+#REF!+'80.  Поповича 18А'!B18+#REF!+#REF!+#REF!+#REF!+#REF!+#REF!+'87.  Поповича 20А'!B16+#REF!+#REF!+#REF!+'91.  Поповича 22А'!B16+#REF!+#REF!+'94.  Поповича 24А'!B16+'95.  Поповича 43А'!B16+'96.  Поповича 45А'!B16+#REF!+'98.  Физкультурная 122'!B16+'99.  Физкультурная 124'!B16+'100.  Физкультурная 126'!B16+'101.  Физкультурная 128'!B16+'102.  Физкультурная 130'!B16+'103.  Физкультурная 124А'!B16+#REF!+'105.  Физкультурная 126А'!B16+'106.  Физкультурная 126Б'!B16</f>
        <v>#REF!</v>
      </c>
      <c r="C16" s="61" t="e">
        <f>'Свод 2021'!#REF!-'Свод 2021'!#REF!-'Свод 2021'!#REF!-'Свод 2021'!#REF!-'Свод 2021'!#REF!-'Свод 2021'!#REF!</f>
        <v>#REF!</v>
      </c>
      <c r="E16" s="42" t="s">
        <v>63</v>
      </c>
      <c r="F16" s="92" t="e">
        <f>'1.  Анкудинова 1 '!#REF!+'2.  Анкудинова 3'!H16+'3.  Анкудинова 5'!G16+'4.  Анкудинова 7'!G16+'5.  Анкудинова 9'!G16+'6.  Анкудинова 11'!G16+'7.  Анкудинова 13'!G16+#REF!+'9.  Анкудинова 17'!G16+'10.  Анкудинова 3Б'!G16+'11.  Анкудинова 5А'!G16+'12.  Анкудинова  11А '!G16+'13.  Анкудинова 17А '!G16+'14. Тихоокеанская 27'!G16+'15. Горького 12'!G16+'16. Горького 14'!G16+'17. Горького 16'!G16+'18. Горького 18'!G16+'19. Горького 20'!G16+'20. Горького 22'!G16+'21. Горького 14А'!G16+#REF!+'23. Комсомольская 165'!G16+'24. Комсомольская 167'!G16+'25. Комсомольская 169'!G16+#REF!+#REF!+'28.  Комсомольская 191'!G16+'29.  Комсомольская 193'!G16+'30.  Комсомольская 195'!G16+#REF!+'32. Комсомольская 167А'!G16+#REF!+#REF!+'35.  пр.Мира 157'!G16+'36.  пр .Мира 161'!G16+'37.  пр.Мира 163'!G16+'38. Мира 161-А'!G16+'39.  пр.Мира 163А '!G16+'40. Победы 4 '!G16+'41. Победы 6'!G16+'42. Победы 6-Б'!G16+'43. Победы 8'!G16+'44. Победы 10'!G17+'45. Победы 10-Б'!G17+'46. Победы 12'!G16+'47. Победы 14'!G16+'48. Победы 16'!G16+'49. Победы 18'!G16+'50. Победы 26'!G16+'51. Победы 48'!G16+'52.  пр.Победы 50'!G16+#REF!+'54.  пр.Победы 12А '!G16+#REF!+#REF!+#REF!+#REF!+#REF!+#REF!+#REF!+'62.  Поповича 14'!G16+#REF!+#REF!+#REF!+#REF!+#REF!+'68.  Поповича 25 '!G16+#REF!+#REF!+'71.  Поповича 43'!G16+'72.  Поповича 45'!G16+'73.  Поповича 47'!G16+#REF!+#REF!+#REF!+#REF!+#REF!+#REF!+'80.  Поповича 18А'!G18+#REF!+#REF!+#REF!+#REF!+#REF!+#REF!+'87.  Поповича 20А'!G16+#REF!+#REF!+#REF!+'91.  Поповича 22А'!G16+#REF!+#REF!+'94.  Поповича 24А'!G16+'95.  Поповича 43А'!G16+'96.  Поповича 45А'!G16+#REF!+'98.  Физкультурная 122'!G16+'99.  Физкультурная 124'!G16+'100.  Физкультурная 126'!G16+'101.  Физкультурная 128'!G16+'102.  Физкультурная 130'!G16+'103.  Физкультурная 124А'!G16+#REF!+'105.  Физкультурная 126А'!G16+'106.  Физкультурная 126Б'!G16</f>
        <v>#REF!</v>
      </c>
      <c r="G16" s="61" t="e">
        <f>C16+C37</f>
        <v>#REF!</v>
      </c>
    </row>
    <row r="17" spans="1:7" ht="14.25">
      <c r="A17" s="93" t="s">
        <v>83</v>
      </c>
      <c r="B17" s="92" t="e">
        <f>'Свод 2021'!#REF!-'Свод 2021'!#REF!-'Свод 2021'!#REF!-'Свод 2021'!#REF!-'Свод 2021'!#REF!-'Свод 2021'!#REF!</f>
        <v>#REF!</v>
      </c>
      <c r="C17" s="92"/>
      <c r="E17" s="93" t="s">
        <v>83</v>
      </c>
      <c r="F17" s="92" t="e">
        <f>B17+B38</f>
        <v>#REF!</v>
      </c>
      <c r="G17" s="92"/>
    </row>
    <row r="18" spans="1:7" ht="14.25">
      <c r="A18" s="93" t="s">
        <v>92</v>
      </c>
      <c r="B18" s="61" t="e">
        <f>'Свод 2021'!#REF!-'Свод 2021'!#REF!-'Свод 2021'!#REF!-'Свод 2021'!#REF!-'Свод 2021'!#REF!-'Свод 2021'!#REF!</f>
        <v>#REF!</v>
      </c>
      <c r="C18" s="92"/>
      <c r="E18" s="93" t="s">
        <v>92</v>
      </c>
      <c r="F18" s="61" t="e">
        <f>B18+B39</f>
        <v>#REF!</v>
      </c>
      <c r="G18" s="92"/>
    </row>
    <row r="23" spans="1:3" ht="12.75">
      <c r="A23" s="302" t="s">
        <v>94</v>
      </c>
      <c r="B23" s="302"/>
      <c r="C23" s="302"/>
    </row>
    <row r="24" ht="13.5" thickBot="1"/>
    <row r="25" spans="1:3" ht="30.75" thickBot="1">
      <c r="A25" s="36" t="s">
        <v>54</v>
      </c>
      <c r="B25" s="117" t="s">
        <v>55</v>
      </c>
      <c r="C25" s="118" t="s">
        <v>71</v>
      </c>
    </row>
    <row r="26" spans="1:3" ht="15">
      <c r="A26" s="39" t="s">
        <v>99</v>
      </c>
      <c r="B26" s="92" t="e">
        <f>'Свод 2021'!#REF!+'Свод 2021'!#REF!+'Свод 2021'!#REF!+'Свод 2021'!#REF!+'Свод 2021'!#REF!</f>
        <v>#REF!</v>
      </c>
      <c r="C26" s="92">
        <v>0</v>
      </c>
    </row>
    <row r="27" spans="1:3" ht="15">
      <c r="A27" s="39" t="s">
        <v>91</v>
      </c>
      <c r="B27" s="92">
        <v>0</v>
      </c>
      <c r="C27" s="92" t="e">
        <f>'Свод 2021'!#REF!+'Свод 2021'!#REF!+'Свод 2021'!#REF!+'Свод 2021'!#REF!+'Свод 2021'!#REF!</f>
        <v>#REF!</v>
      </c>
    </row>
    <row r="28" spans="1:3" ht="15">
      <c r="A28" s="40" t="s">
        <v>96</v>
      </c>
      <c r="B28" s="92" t="e">
        <f>'Свод 2021'!#REF!+'Свод 2021'!L17+'Свод 2021'!L34+'Свод 2021'!L52+'Свод 2021'!L53</f>
        <v>#REF!</v>
      </c>
      <c r="C28" s="92" t="e">
        <f>'Свод 2021'!#REF!+'Свод 2021'!#REF!+'Свод 2021'!#REF!+'Свод 2021'!#REF!+'Свод 2021'!#REF!</f>
        <v>#REF!</v>
      </c>
    </row>
    <row r="29" spans="1:3" ht="15">
      <c r="A29" s="40" t="s">
        <v>3</v>
      </c>
      <c r="B29" s="92" t="e">
        <f>'Свод 2021'!#REF!+'Свод 2021'!M17+'Свод 2021'!M34+'Свод 2021'!M52+'Свод 2021'!M53</f>
        <v>#REF!</v>
      </c>
      <c r="C29" s="92" t="e">
        <f>'Свод 2021'!#REF!+'Свод 2021'!#REF!+'Свод 2021'!#REF!+'Свод 2021'!#REF!+'Свод 2021'!#REF!</f>
        <v>#REF!</v>
      </c>
    </row>
    <row r="30" spans="1:3" ht="15">
      <c r="A30" s="40" t="s">
        <v>86</v>
      </c>
      <c r="B30" s="92" t="e">
        <f>'Свод 2021'!#REF!+'Свод 2021'!N17+'Свод 2021'!N34+'Свод 2021'!N52+'Свод 2021'!N53</f>
        <v>#REF!</v>
      </c>
      <c r="C30" s="92" t="e">
        <f>'Свод 2021'!#REF!+'Свод 2021'!#REF!+'Свод 2021'!#REF!+'Свод 2021'!#REF!+'Свод 2021'!#REF!</f>
        <v>#REF!</v>
      </c>
    </row>
    <row r="31" spans="1:3" ht="15">
      <c r="A31" s="40" t="s">
        <v>62</v>
      </c>
      <c r="B31" s="92">
        <v>0</v>
      </c>
      <c r="C31" s="61" t="e">
        <f>C27+C29</f>
        <v>#REF!</v>
      </c>
    </row>
    <row r="32" spans="1:3" ht="15">
      <c r="A32" s="40" t="s">
        <v>36</v>
      </c>
      <c r="B32" s="61" t="e">
        <f>'Свод 2021'!#REF!+'Свод 2021'!O17+'Свод 2021'!O34+'Свод 2021'!O52+'Свод 2021'!O53</f>
        <v>#REF!</v>
      </c>
      <c r="C32" s="92" t="e">
        <f>'Свод 2021'!#REF!+'Свод 2021'!#REF!+'Свод 2021'!#REF!+'Свод 2021'!#REF!+'Свод 2021'!#REF!</f>
        <v>#REF!</v>
      </c>
    </row>
    <row r="33" spans="1:3" ht="30">
      <c r="A33" s="40" t="s">
        <v>98</v>
      </c>
      <c r="B33" s="92" t="e">
        <f>'Свод 2021'!#REF!+'Свод 2021'!R17+'Свод 2021'!R34+'Свод 2021'!R52+'Свод 2021'!R53</f>
        <v>#REF!</v>
      </c>
      <c r="C33" s="92">
        <v>0</v>
      </c>
    </row>
    <row r="34" spans="1:3" ht="15">
      <c r="A34" s="40" t="s">
        <v>100</v>
      </c>
      <c r="B34" s="61" t="e">
        <f>'Свод 2021'!#REF!+'Свод 2021'!#REF!+'Свод 2021'!#REF!+'Свод 2021'!#REF!+'Свод 2021'!#REF!</f>
        <v>#REF!</v>
      </c>
      <c r="C34" s="92">
        <v>0</v>
      </c>
    </row>
    <row r="35" spans="1:3" ht="15">
      <c r="A35" s="40" t="s">
        <v>85</v>
      </c>
      <c r="B35" s="61" t="e">
        <f>'Свод 2021'!#REF!+'Свод 2021'!#REF!+'Свод 2021'!#REF!+'Свод 2021'!#REF!+'Свод 2021'!#REF!</f>
        <v>#REF!</v>
      </c>
      <c r="C35" s="92" t="e">
        <f>'Свод 2021'!#REF!+'Свод 2021'!#REF!+'Свод 2021'!#REF!+'Свод 2021'!#REF!+'Свод 2021'!#REF!</f>
        <v>#REF!</v>
      </c>
    </row>
    <row r="36" spans="1:3" ht="15">
      <c r="A36" s="42" t="s">
        <v>2</v>
      </c>
      <c r="B36" s="92"/>
      <c r="C36" s="92" t="e">
        <f>'Свод 2021'!#REF!+'Свод 2021'!#REF!+'Свод 2021'!#REF!+'Свод 2021'!#REF!+'Свод 2021'!#REF!</f>
        <v>#REF!</v>
      </c>
    </row>
    <row r="37" spans="1:3" ht="15">
      <c r="A37" s="42" t="s">
        <v>63</v>
      </c>
      <c r="B37" s="92"/>
      <c r="C37" s="61" t="e">
        <f>'Свод 2021'!#REF!+'Свод 2021'!#REF!+'Свод 2021'!#REF!+'Свод 2021'!#REF!+'Свод 2021'!#REF!</f>
        <v>#REF!</v>
      </c>
    </row>
    <row r="38" spans="1:3" ht="14.25">
      <c r="A38" s="93" t="s">
        <v>83</v>
      </c>
      <c r="B38" s="92" t="e">
        <f>'Свод 2021'!#REF!+'Свод 2021'!#REF!+'Свод 2021'!#REF!+'Свод 2021'!#REF!+'Свод 2021'!#REF!</f>
        <v>#REF!</v>
      </c>
      <c r="C38" s="92"/>
    </row>
    <row r="39" spans="1:3" ht="14.25">
      <c r="A39" s="93" t="s">
        <v>92</v>
      </c>
      <c r="B39" s="61" t="e">
        <f>'Свод 2021'!#REF!+'Свод 2021'!#REF!+'Свод 2021'!#REF!+'Свод 2021'!#REF!+'Свод 2021'!#REF!</f>
        <v>#REF!</v>
      </c>
      <c r="C39" s="92"/>
    </row>
  </sheetData>
  <sheetProtection/>
  <mergeCells count="3">
    <mergeCell ref="A2:C2"/>
    <mergeCell ref="A23:C23"/>
    <mergeCell ref="E2:G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60.375" style="0" customWidth="1"/>
    <col min="2" max="2" width="21.25390625" style="0" customWidth="1"/>
    <col min="3" max="3" width="19.25390625" style="0" customWidth="1"/>
    <col min="4" max="4" width="16.125" style="0" customWidth="1"/>
    <col min="5" max="5" width="13.625" style="0" customWidth="1"/>
  </cols>
  <sheetData>
    <row r="1" spans="1:3" ht="14.25">
      <c r="A1" s="269"/>
      <c r="B1" s="269"/>
      <c r="C1" s="269"/>
    </row>
    <row r="2" spans="1:3" ht="14.25">
      <c r="A2" s="270"/>
      <c r="B2" s="270"/>
      <c r="C2" s="270"/>
    </row>
    <row r="3" spans="1:3" ht="14.25">
      <c r="A3" s="269"/>
      <c r="B3" s="269"/>
      <c r="C3" s="269"/>
    </row>
    <row r="4" spans="1:3" ht="15.75" thickBot="1">
      <c r="A4" s="57"/>
      <c r="B4" s="58"/>
      <c r="C4" s="59"/>
    </row>
    <row r="5" spans="1:3" ht="30.75" thickBot="1">
      <c r="A5" s="36" t="s">
        <v>54</v>
      </c>
      <c r="B5" s="37" t="s">
        <v>55</v>
      </c>
      <c r="C5" s="38" t="s">
        <v>71</v>
      </c>
    </row>
    <row r="6" spans="1:3" ht="15">
      <c r="A6" s="39" t="s">
        <v>99</v>
      </c>
      <c r="B6" s="92" t="e">
        <f>'1.  Анкудинова 1 '!C6+'2.  Анкудинова 3'!C6+'3.  Анкудинова 5'!B6+'4.  Анкудинова 7'!B6+'5.  Анкудинова 9'!B6+'6.  Анкудинова 11'!B6+'7.  Анкудинова 13'!B6+#REF!+'9.  Анкудинова 17'!B6+'10.  Анкудинова 3Б'!B6+'11.  Анкудинова 5А'!B6+'12.  Анкудинова  11А '!B6+'13.  Анкудинова 17А '!B6+'14. Тихоокеанская 27'!B6+'15. Горького 12'!B6+'16. Горького 14'!B6+'17. Горького 16'!B6+'18. Горького 18'!B6+'19. Горького 20'!B6+'20. Горького 22'!B6+'21. Горького 14А'!B6+#REF!+'23. Комсомольская 165'!B6+'24. Комсомольская 167'!B6+'25. Комсомольская 169'!B6+#REF!+#REF!+'28.  Комсомольская 191'!B6+'29.  Комсомольская 193'!B6+'30.  Комсомольская 195'!B6+#REF!+'32. Комсомольская 167А'!B6+#REF!+#REF!+'35.  пр.Мира 157'!B6+'36.  пр .Мира 161'!B6+'37.  пр.Мира 163'!B6+'38. Мира 161-А'!B6+'39.  пр.Мира 163А '!B6+'40. Победы 4 '!B6+'41. Победы 6'!B6+'42. Победы 6-А-1'!B6+'42. Победы 6-Б'!B6+'43. Победы 8'!B6+'44. Победы 10'!B7+'45. Победы 10-Б'!B7+'46. Победы 12'!B6+'47. Победы 14'!B6+'48. Победы 16'!B6+'49. Победы 18'!B6+'50. Победы 26'!B6+'51. Победы 48'!B6+'52.  пр.Победы 50'!B6+#REF!+'54.  пр.Победы 12А '!B6+#REF!+#REF!+#REF!+#REF!+#REF!+#REF!+#REF!+'62.  Поповича 14'!B6+#REF!+#REF!+#REF!+#REF!+#REF!+'68.  Поповича 25 '!B6+#REF!+#REF!+'71.  Поповича 43'!B6+'72.  Поповича 45'!B6+'73.  Поповича 47'!B6+#REF!+#REF!+#REF!+#REF!+#REF!+#REF!+'80.  Поповича 18А'!B8+#REF!+#REF!+#REF!+#REF!+#REF!+#REF!+'87.  Поповича 20А'!B6+#REF!+#REF!+#REF!+'91.  Поповича 22А'!B6+#REF!+#REF!+'94.  Поповича 24А'!B6+'95.  Поповича 43А'!B6+'96.  Поповича 45А'!B6+#REF!+'98.  Физкультурная 122'!B6+'99.  Физкультурная 124'!B6+'100.  Физкультурная 126'!B6+'101.  Физкультурная 128'!B6+'102.  Физкультурная 130'!B6+'103.  Физкультурная 124А'!B6+#REF!+'105.  Физкультурная 126А'!B6+'106.  Физкультурная 126Б'!B6</f>
        <v>#VALUE!</v>
      </c>
      <c r="C6" s="92"/>
    </row>
    <row r="7" spans="1:3" ht="15">
      <c r="A7" s="39" t="s">
        <v>91</v>
      </c>
      <c r="B7" s="92"/>
      <c r="C7" s="123" t="e">
        <f>'1.  Анкудинова 1 '!#REF!+'2.  Анкудинова 3'!D7+'3.  Анкудинова 5'!C7+'4.  Анкудинова 7'!C7+'5.  Анкудинова 9'!C7+'6.  Анкудинова 11'!C7+'7.  Анкудинова 13'!C7+#REF!+'9.  Анкудинова 17'!C7+'10.  Анкудинова 3Б'!C7+'11.  Анкудинова 5А'!C7+'12.  Анкудинова  11А '!C7+'13.  Анкудинова 17А '!C7+'14. Тихоокеанская 27'!C7+'15. Горького 12'!C7+'16. Горького 14'!C7+'17. Горького 16'!C7+'18. Горького 18'!C7+'19. Горького 20'!C7+'20. Горького 22'!C7+'21. Горького 14А'!C7+#REF!+'23. Комсомольская 165'!C7+'24. Комсомольская 167'!C7+'25. Комсомольская 169'!C7+#REF!+#REF!+'28.  Комсомольская 191'!C7+'29.  Комсомольская 193'!C7+'30.  Комсомольская 195'!C7+#REF!+'32. Комсомольская 167А'!C7+#REF!+#REF!+'35.  пр.Мира 157'!C7+'36.  пр .Мира 161'!C7+'37.  пр.Мира 163'!C7+'38. Мира 161-А'!C7+'39.  пр.Мира 163А '!C7+'40. Победы 4 '!C7+'41. Победы 6'!C7+'42. Победы 6-А-1'!C7+'42. Победы 6-Б'!C7+'43. Победы 8'!C7+'44. Победы 10'!C8+'45. Победы 10-Б'!C8+'46. Победы 12'!C7+'47. Победы 14'!C7+'48. Победы 16'!C7+'49. Победы 18'!C7+'50. Победы 26'!C7+'51. Победы 48'!C7+'52.  пр.Победы 50'!C7+#REF!+'54.  пр.Победы 12А '!C7+#REF!+#REF!+#REF!+#REF!+#REF!+#REF!+#REF!+'62.  Поповича 14'!C7+#REF!+#REF!+#REF!+#REF!+#REF!+'68.  Поповича 25 '!C7+#REF!+#REF!+'71.  Поповича 43'!C7+'72.  Поповича 45'!C7+'73.  Поповича 47'!C7+#REF!+#REF!+#REF!+#REF!+#REF!+#REF!+'80.  Поповича 18А'!C9+#REF!+#REF!+#REF!+#REF!+#REF!+#REF!+'87.  Поповича 20А'!C7+#REF!+#REF!+#REF!+'91.  Поповича 22А'!C7+#REF!+#REF!+'94.  Поповича 24А'!C7+'95.  Поповича 43А'!C7+'96.  Поповича 45А'!C7+#REF!+'98.  Физкультурная 122'!C7+'99.  Физкультурная 124'!C7+'100.  Физкультурная 126'!C7+'101.  Физкультурная 128'!C7+'102.  Физкультурная 130'!C7+'103.  Физкультурная 124А'!C7+#REF!+'105.  Физкультурная 126А'!C7+'106.  Физкультурная 126Б'!C7</f>
        <v>#REF!</v>
      </c>
    </row>
    <row r="8" spans="1:3" ht="15">
      <c r="A8" s="40" t="s">
        <v>97</v>
      </c>
      <c r="B8" s="92" t="e">
        <f>'1.  Анкудинова 1 '!C7+'2.  Анкудинова 3'!C8+'3.  Анкудинова 5'!B8+'4.  Анкудинова 7'!B8+'5.  Анкудинова 9'!B8+'6.  Анкудинова 11'!B8+'7.  Анкудинова 13'!B8+#REF!+'9.  Анкудинова 17'!B8+'10.  Анкудинова 3Б'!B8+'11.  Анкудинова 5А'!B8+'12.  Анкудинова  11А '!B8+'13.  Анкудинова 17А '!B8+'14. Тихоокеанская 27'!B8+'15. Горького 12'!B8+'16. Горького 14'!B8+'17. Горького 16'!B8+'18. Горького 18'!B8+'19. Горького 20'!B8+'20. Горького 22'!B8+'21. Горького 14А'!B8+#REF!+'23. Комсомольская 165'!B8+'24. Комсомольская 167'!B8+'25. Комсомольская 169'!B8+#REF!+#REF!+'28.  Комсомольская 191'!B8+'29.  Комсомольская 193'!B8+'30.  Комсомольская 195'!B8+#REF!+'32. Комсомольская 167А'!B8+#REF!+#REF!+'35.  пр.Мира 157'!B8+'36.  пр .Мира 161'!B8+'37.  пр.Мира 163'!B8+'38. Мира 161-А'!B8+'39.  пр.Мира 163А '!B8+'40. Победы 4 '!B8+'41. Победы 6'!B8+'42. Победы 6-А-1'!B8+'42. Победы 6-Б'!B8+'43. Победы 8'!B8+'44. Победы 10'!B9+'45. Победы 10-Б'!B9+'46. Победы 12'!B8+'47. Победы 14'!B8+'48. Победы 16'!B8+'49. Победы 18'!B8+'50. Победы 26'!B8+'51. Победы 48'!B8+'52.  пр.Победы 50'!B8+#REF!+'54.  пр.Победы 12А '!B8+#REF!+#REF!+#REF!+#REF!+#REF!+#REF!+#REF!+'62.  Поповича 14'!B8+#REF!+#REF!+#REF!+#REF!+#REF!+'68.  Поповича 25 '!B8+#REF!+#REF!+'71.  Поповича 43'!B8+'72.  Поповича 45'!B8+'73.  Поповича 47'!B8+#REF!+#REF!+#REF!+#REF!+#REF!+#REF!+'80.  Поповича 18А'!B10+#REF!+#REF!+#REF!+#REF!+#REF!+#REF!+'87.  Поповича 20А'!B8+#REF!+#REF!+#REF!+'91.  Поповича 22А'!B8+#REF!+#REF!+'94.  Поповича 24А'!B8+'95.  Поповича 43А'!B8+'96.  Поповича 45А'!B8+#REF!+'98.  Физкультурная 122'!B8+'99.  Физкультурная 124'!B8+'100.  Физкультурная 126'!B8+'101.  Физкультурная 128'!B8+'102.  Физкультурная 130'!B8+'103.  Физкультурная 124А'!B8+#REF!+'105.  Физкультурная 126А'!B8+'106.  Физкультурная 126Б'!B8</f>
        <v>#VALUE!</v>
      </c>
      <c r="C8" s="123" t="e">
        <f>'1.  Анкудинова 1 '!D7+'2.  Анкудинова 3'!D8+'3.  Анкудинова 5'!C8+'4.  Анкудинова 7'!C8+'5.  Анкудинова 9'!C8+'6.  Анкудинова 11'!C8+'7.  Анкудинова 13'!C8+#REF!+'9.  Анкудинова 17'!C8+'10.  Анкудинова 3Б'!C8+'11.  Анкудинова 5А'!C8+'12.  Анкудинова  11А '!C8+'13.  Анкудинова 17А '!C8+'14. Тихоокеанская 27'!C8+'15. Горького 12'!C8+'16. Горького 14'!C8+'17. Горького 16'!C8+'18. Горького 18'!C8+'19. Горького 20'!C8+'20. Горького 22'!C8+'21. Горького 14А'!C8+#REF!+'23. Комсомольская 165'!C8+'24. Комсомольская 167'!C8+'25. Комсомольская 169'!C8+#REF!+#REF!+'28.  Комсомольская 191'!C8+'29.  Комсомольская 193'!C8+'30.  Комсомольская 195'!C8+#REF!+'32. Комсомольская 167А'!C8+#REF!+#REF!+'35.  пр.Мира 157'!C8+'36.  пр .Мира 161'!C8+'37.  пр.Мира 163'!C8+'38. Мира 161-А'!C8+'39.  пр.Мира 163А '!C8+'40. Победы 4 '!C8+'41. Победы 6'!C8+'42. Победы 6-А-1'!C8+'42. Победы 6-Б'!C8+'43. Победы 8'!C8+'44. Победы 10'!C9+'45. Победы 10-Б'!C9+'46. Победы 12'!C8+'47. Победы 14'!C8+'48. Победы 16'!C8+'49. Победы 18'!C8+'50. Победы 26'!C8+'51. Победы 48'!C8+'52.  пр.Победы 50'!C8+#REF!+'54.  пр.Победы 12А '!C8+#REF!+#REF!+#REF!+#REF!+#REF!+#REF!+#REF!+'62.  Поповича 14'!C8+#REF!+#REF!+#REF!+#REF!+#REF!+'68.  Поповича 25 '!C8+#REF!+#REF!+'71.  Поповича 43'!C8+'72.  Поповича 45'!C8+'73.  Поповича 47'!C8+#REF!+#REF!+#REF!+#REF!+#REF!+#REF!+'80.  Поповича 18А'!C10+#REF!+#REF!+#REF!+#REF!+#REF!+#REF!+'87.  Поповича 20А'!C8+#REF!+#REF!+#REF!+'91.  Поповича 22А'!C8+#REF!+#REF!+'94.  Поповича 24А'!C8+'95.  Поповича 43А'!C8+'96.  Поповича 45А'!C8+#REF!+'98.  Физкультурная 122'!C8+'99.  Физкультурная 124'!C8+'100.  Физкультурная 126'!C8+'101.  Физкультурная 128'!C8+'102.  Физкультурная 130'!C8+'103.  Физкультурная 124А'!C8+#REF!+'105.  Физкультурная 126А'!C8+'106.  Физкультурная 126Б'!C8</f>
        <v>#REF!</v>
      </c>
    </row>
    <row r="9" spans="1:3" ht="15">
      <c r="A9" s="40" t="s">
        <v>3</v>
      </c>
      <c r="B9" s="92" t="e">
        <f>'1.  Анкудинова 1 '!C8+'2.  Анкудинова 3'!C9+'3.  Анкудинова 5'!B9+'4.  Анкудинова 7'!B9+'5.  Анкудинова 9'!B9+'6.  Анкудинова 11'!B9+'7.  Анкудинова 13'!B9+#REF!+'9.  Анкудинова 17'!B9+'10.  Анкудинова 3Б'!B9+'11.  Анкудинова 5А'!B9+'12.  Анкудинова  11А '!B9+'13.  Анкудинова 17А '!B9+'14. Тихоокеанская 27'!B9+'15. Горького 12'!B9+'16. Горького 14'!B9+'17. Горького 16'!B9+'18. Горького 18'!B9+'19. Горького 20'!B9+'20. Горького 22'!B9+'21. Горького 14А'!B9+#REF!+'23. Комсомольская 165'!B9+'24. Комсомольская 167'!B9+'25. Комсомольская 169'!B9+#REF!+#REF!+'28.  Комсомольская 191'!B9+'29.  Комсомольская 193'!B9+'30.  Комсомольская 195'!B9+#REF!+'32. Комсомольская 167А'!B9+#REF!+#REF!+'35.  пр.Мира 157'!B9+'36.  пр .Мира 161'!B9+'37.  пр.Мира 163'!B9+'38. Мира 161-А'!B9+'39.  пр.Мира 163А '!B9+'40. Победы 4 '!B9+'41. Победы 6'!B9+'42. Победы 6-А-1'!B9+'42. Победы 6-Б'!B9+'43. Победы 8'!B9+'44. Победы 10'!B10+'45. Победы 10-Б'!B10+'46. Победы 12'!B9+'47. Победы 14'!B9+'48. Победы 16'!B9+'49. Победы 18'!B9+'50. Победы 26'!B9+'51. Победы 48'!B9+'52.  пр.Победы 50'!B9+#REF!+'54.  пр.Победы 12А '!B9+#REF!+#REF!+#REF!+#REF!+#REF!+#REF!+#REF!+'62.  Поповича 14'!B9+#REF!+#REF!+#REF!+#REF!+#REF!+'68.  Поповича 25 '!B9+#REF!+#REF!+'71.  Поповича 43'!B9+'72.  Поповича 45'!B9+'73.  Поповича 47'!B9+#REF!+#REF!+#REF!+#REF!+#REF!+#REF!+'80.  Поповича 18А'!B11+#REF!+#REF!+#REF!+#REF!+#REF!+#REF!+'87.  Поповича 20А'!B9+#REF!+#REF!+#REF!+'91.  Поповича 22А'!B9+#REF!+#REF!+'94.  Поповича 24А'!B9+'95.  Поповича 43А'!B9+'96.  Поповича 45А'!B9+#REF!+'98.  Физкультурная 122'!B9+'99.  Физкультурная 124'!B9+'100.  Физкультурная 126'!B9+'101.  Физкультурная 128'!B9+'102.  Физкультурная 130'!B9+'103.  Физкультурная 124А'!B9+#REF!+'105.  Физкультурная 126А'!B9+'106.  Физкультурная 126Б'!B9</f>
        <v>#VALUE!</v>
      </c>
      <c r="C9" s="123" t="e">
        <f>'1.  Анкудинова 1 '!D8+'2.  Анкудинова 3'!D9+'3.  Анкудинова 5'!C9+'4.  Анкудинова 7'!C9+'5.  Анкудинова 9'!C9+'6.  Анкудинова 11'!C9+'7.  Анкудинова 13'!C9+#REF!+'9.  Анкудинова 17'!C9+'10.  Анкудинова 3Б'!C9+'11.  Анкудинова 5А'!C9+'12.  Анкудинова  11А '!C9+'13.  Анкудинова 17А '!C9+'14. Тихоокеанская 27'!C9+'15. Горького 12'!C9+'16. Горького 14'!C9+'17. Горького 16'!C9+'18. Горького 18'!C9+'19. Горького 20'!C9+'20. Горького 22'!C9+'21. Горького 14А'!C9+#REF!+'23. Комсомольская 165'!C9+'24. Комсомольская 167'!C9+'25. Комсомольская 169'!C9+#REF!+#REF!+'28.  Комсомольская 191'!C9+'29.  Комсомольская 193'!C9+'30.  Комсомольская 195'!C9+#REF!+'32. Комсомольская 167А'!C9+#REF!+#REF!+'35.  пр.Мира 157'!C9+'36.  пр .Мира 161'!C9+'37.  пр.Мира 163'!C9+'38. Мира 161-А'!C9+'39.  пр.Мира 163А '!C9+'40. Победы 4 '!C9+'41. Победы 6'!C9+'42. Победы 6-А-1'!C9+'42. Победы 6-Б'!C9+'43. Победы 8'!C9+'44. Победы 10'!C10+'45. Победы 10-Б'!C10+'46. Победы 12'!C9+'47. Победы 14'!C9+'48. Победы 16'!C9+'49. Победы 18'!C9+'50. Победы 26'!C9+'51. Победы 48'!C9+'52.  пр.Победы 50'!C9+#REF!+'54.  пр.Победы 12А '!C9+#REF!+#REF!+#REF!+#REF!+#REF!+#REF!+#REF!+'62.  Поповича 14'!C9+#REF!+#REF!+#REF!+#REF!+#REF!+'68.  Поповича 25 '!C9+#REF!+#REF!+'71.  Поповича 43'!C9+'72.  Поповича 45'!C9+'73.  Поповича 47'!C9+#REF!+#REF!+#REF!+#REF!+#REF!+#REF!+'80.  Поповича 18А'!C11+#REF!+#REF!+#REF!+#REF!+#REF!+#REF!+'87.  Поповича 20А'!C9+#REF!+#REF!+#REF!+'91.  Поповича 22А'!C9+#REF!+#REF!+'94.  Поповича 24А'!C9+'95.  Поповича 43А'!C9+'96.  Поповича 45А'!C9+#REF!+'98.  Физкультурная 122'!C9+'99.  Физкультурная 124'!C9+'100.  Физкультурная 126'!C9+'101.  Физкультурная 128'!C9+'102.  Физкультурная 130'!C9+'103.  Физкультурная 124А'!C9+#REF!+'105.  Физкультурная 126А'!C9+'106.  Физкультурная 126Б'!C9</f>
        <v>#REF!</v>
      </c>
    </row>
    <row r="10" spans="1:3" ht="15">
      <c r="A10" s="40" t="s">
        <v>86</v>
      </c>
      <c r="B10" s="92" t="e">
        <f>'1.  Анкудинова 1 '!C9+'2.  Анкудинова 3'!C10+'3.  Анкудинова 5'!B10+'4.  Анкудинова 7'!B10+'5.  Анкудинова 9'!B10+'6.  Анкудинова 11'!B10+'7.  Анкудинова 13'!B10+#REF!+'9.  Анкудинова 17'!B10+'10.  Анкудинова 3Б'!B10+'11.  Анкудинова 5А'!B10+'12.  Анкудинова  11А '!B10+'13.  Анкудинова 17А '!B10+'14. Тихоокеанская 27'!B10+'15. Горького 12'!B10+'16. Горького 14'!B10+'17. Горького 16'!B10+'18. Горького 18'!B10+'19. Горького 20'!B10+'20. Горького 22'!B10+'21. Горького 14А'!B10+#REF!+'23. Комсомольская 165'!B10+'24. Комсомольская 167'!B10+'25. Комсомольская 169'!B10+#REF!+#REF!+'28.  Комсомольская 191'!B10+'29.  Комсомольская 193'!B10+'30.  Комсомольская 195'!B10+#REF!+'32. Комсомольская 167А'!B10+#REF!+#REF!+'35.  пр.Мира 157'!B10+'36.  пр .Мира 161'!B10+'37.  пр.Мира 163'!B10+'38. Мира 161-А'!B10+'39.  пр.Мира 163А '!B10+'40. Победы 4 '!B10+'41. Победы 6'!B10+'42. Победы 6-А-1'!B10+'42. Победы 6-Б'!B10+'43. Победы 8'!B10+'44. Победы 10'!B11+'45. Победы 10-Б'!B11+'46. Победы 12'!B10+'47. Победы 14'!B10+'48. Победы 16'!B10+'49. Победы 18'!B10+'50. Победы 26'!B10+'51. Победы 48'!B10+'52.  пр.Победы 50'!B10+#REF!+'54.  пр.Победы 12А '!B10+#REF!+#REF!+#REF!+#REF!+#REF!+#REF!+#REF!+'62.  Поповича 14'!B10+#REF!+#REF!+#REF!+#REF!+#REF!+'68.  Поповича 25 '!B10+#REF!+#REF!+'71.  Поповича 43'!B10+'72.  Поповича 45'!B10+'73.  Поповича 47'!B10+#REF!+#REF!+#REF!+#REF!+#REF!+#REF!+'80.  Поповича 18А'!B12+#REF!+#REF!+#REF!+#REF!+#REF!+#REF!+'87.  Поповича 20А'!B10+#REF!+#REF!+#REF!+'91.  Поповича 22А'!B10+#REF!+#REF!+'94.  Поповича 24А'!B10+'95.  Поповича 43А'!B10+'96.  Поповича 45А'!B10+#REF!+'98.  Физкультурная 122'!B10+'99.  Физкультурная 124'!B10+'100.  Физкультурная 126'!B10+'101.  Физкультурная 128'!B10+'102.  Физкультурная 130'!B10+'103.  Физкультурная 124А'!B10+#REF!+'105.  Физкультурная 126А'!B10+'106.  Физкультурная 126Б'!B10</f>
        <v>#VALUE!</v>
      </c>
      <c r="C10" s="123" t="e">
        <f>'1.  Анкудинова 1 '!D9+'2.  Анкудинова 3'!D10+'3.  Анкудинова 5'!C10+'4.  Анкудинова 7'!C10+'5.  Анкудинова 9'!C10+'6.  Анкудинова 11'!C10+'7.  Анкудинова 13'!C10+#REF!+'9.  Анкудинова 17'!C10+'10.  Анкудинова 3Б'!C10+'11.  Анкудинова 5А'!C10+'12.  Анкудинова  11А '!C10+'13.  Анкудинова 17А '!C10+'14. Тихоокеанская 27'!C10+'15. Горького 12'!C10+'16. Горького 14'!C10+'17. Горького 16'!C10+'18. Горького 18'!C10+'19. Горького 20'!C10+'20. Горького 22'!C10+'21. Горького 14А'!C10+#REF!+'23. Комсомольская 165'!C10+'24. Комсомольская 167'!C10+'25. Комсомольская 169'!C10+#REF!+#REF!+'28.  Комсомольская 191'!C10+'29.  Комсомольская 193'!C10+'30.  Комсомольская 195'!C10+#REF!+'32. Комсомольская 167А'!C10+#REF!+#REF!+'35.  пр.Мира 157'!C10+'36.  пр .Мира 161'!C10+'37.  пр.Мира 163'!C10+'38. Мира 161-А'!C10+'39.  пр.Мира 163А '!C10+'40. Победы 4 '!C10+'41. Победы 6'!C10+'42. Победы 6-А-1'!C10+'42. Победы 6-Б'!C10+'43. Победы 8'!C10+'44. Победы 10'!C11+'45. Победы 10-Б'!C11+'46. Победы 12'!C10+'47. Победы 14'!C10+'48. Победы 16'!C10+'49. Победы 18'!C10+'50. Победы 26'!C10+'51. Победы 48'!C10+'52.  пр.Победы 50'!C10+#REF!+'54.  пр.Победы 12А '!C10+#REF!+#REF!+#REF!+#REF!+#REF!+#REF!+#REF!+'62.  Поповича 14'!C10+#REF!+#REF!+#REF!+#REF!+#REF!+'68.  Поповича 25 '!C10+#REF!+#REF!+'71.  Поповича 43'!C10+'72.  Поповича 45'!C10+'73.  Поповича 47'!C10+#REF!+#REF!+#REF!+#REF!+#REF!+#REF!+'80.  Поповича 18А'!C12+#REF!+#REF!+#REF!+#REF!+#REF!+#REF!+'87.  Поповича 20А'!C10+#REF!+#REF!+#REF!+'91.  Поповича 22А'!C10+#REF!+#REF!+'94.  Поповича 24А'!C10+'95.  Поповича 43А'!C10+'96.  Поповича 45А'!C10+#REF!+'98.  Физкультурная 122'!C10+'99.  Физкультурная 124'!C10+'100.  Физкультурная 126'!C10+'101.  Физкультурная 128'!C10+'102.  Физкультурная 130'!C10+'103.  Физкультурная 124А'!C10+#REF!+'105.  Физкультурная 126А'!C10+'106.  Физкультурная 126Б'!C10</f>
        <v>#REF!</v>
      </c>
    </row>
    <row r="11" spans="1:3" ht="15">
      <c r="A11" s="40" t="s">
        <v>62</v>
      </c>
      <c r="B11" s="92"/>
      <c r="C11" s="123" t="e">
        <f>C7+C9</f>
        <v>#REF!</v>
      </c>
    </row>
    <row r="12" spans="1:3" ht="15">
      <c r="A12" s="40" t="s">
        <v>36</v>
      </c>
      <c r="B12" s="92" t="e">
        <f>'1.  Анкудинова 1 '!C10+'2.  Анкудинова 3'!C12+'3.  Анкудинова 5'!B12+'4.  Анкудинова 7'!B12+'5.  Анкудинова 9'!B12+'6.  Анкудинова 11'!B12+'7.  Анкудинова 13'!B12+#REF!+'9.  Анкудинова 17'!B12+'10.  Анкудинова 3Б'!B12+'11.  Анкудинова 5А'!B12+'12.  Анкудинова  11А '!B12+'13.  Анкудинова 17А '!B12+'14. Тихоокеанская 27'!B12+'15. Горького 12'!B12+'16. Горького 14'!B12+'17. Горького 16'!B12+'18. Горького 18'!B12+'19. Горького 20'!B12+'20. Горького 22'!B12+'21. Горького 14А'!B12+#REF!+'23. Комсомольская 165'!B12+'24. Комсомольская 167'!B12+'25. Комсомольская 169'!B12+#REF!+#REF!+'28.  Комсомольская 191'!B12+'29.  Комсомольская 193'!B12+'30.  Комсомольская 195'!B12+#REF!+'32. Комсомольская 167А'!B12+#REF!+#REF!+'35.  пр.Мира 157'!B12+'36.  пр .Мира 161'!B12+'37.  пр.Мира 163'!B12+'38. Мира 161-А'!B12+'39.  пр.Мира 163А '!B12+'40. Победы 4 '!B12+'41. Победы 6'!B12+'42. Победы 6-А-1'!B12+'42. Победы 6-Б'!B12+'43. Победы 8'!B12+'44. Победы 10'!B13+'45. Победы 10-Б'!B13+'46. Победы 12'!B12+'47. Победы 14'!B12+'48. Победы 16'!B12+'49. Победы 18'!B12+'50. Победы 26'!B12+'51. Победы 48'!B12+'52.  пр.Победы 50'!B12+#REF!+'54.  пр.Победы 12А '!B12+#REF!+#REF!+#REF!+#REF!+#REF!+#REF!+#REF!+'62.  Поповича 14'!B12+#REF!+#REF!+#REF!+#REF!+#REF!+'68.  Поповича 25 '!B12+#REF!+#REF!+'71.  Поповича 43'!B12+'72.  Поповича 45'!B12+'73.  Поповича 47'!B12+#REF!+#REF!+#REF!+#REF!+#REF!+#REF!+'80.  Поповича 18А'!B14+#REF!+#REF!+#REF!+#REF!+#REF!+#REF!+'87.  Поповича 20А'!B12+#REF!+#REF!+#REF!+'91.  Поповича 22А'!B12+#REF!+#REF!+'94.  Поповича 24А'!B12+'95.  Поповича 43А'!B12+'96.  Поповича 45А'!B12+#REF!+'98.  Физкультурная 122'!B12+'99.  Физкультурная 124'!B12+'100.  Физкультурная 126'!B12+'101.  Физкультурная 128'!B12+'102.  Физкультурная 130'!B12+'103.  Физкультурная 124А'!B12+#REF!+'105.  Физкультурная 126А'!B12+'106.  Физкультурная 126Б'!B12</f>
        <v>#VALUE!</v>
      </c>
      <c r="C12" s="123" t="e">
        <f>'1.  Анкудинова 1 '!D10+'2.  Анкудинова 3'!D12+'3.  Анкудинова 5'!C12+'4.  Анкудинова 7'!C12+'5.  Анкудинова 9'!C12+'6.  Анкудинова 11'!C12+'7.  Анкудинова 13'!C12+#REF!+'9.  Анкудинова 17'!C12+'10.  Анкудинова 3Б'!C12+'11.  Анкудинова 5А'!C12+'12.  Анкудинова  11А '!C12+'13.  Анкудинова 17А '!C12+'14. Тихоокеанская 27'!C12+'15. Горького 12'!C12+'16. Горького 14'!C12+'17. Горького 16'!C12+'18. Горького 18'!C12+'19. Горького 20'!C12+'20. Горького 22'!C12+'21. Горького 14А'!C12+#REF!+'23. Комсомольская 165'!C12+'24. Комсомольская 167'!C12+'25. Комсомольская 169'!C12+#REF!+#REF!+'28.  Комсомольская 191'!C12+'29.  Комсомольская 193'!C12+'30.  Комсомольская 195'!C12+#REF!+'32. Комсомольская 167А'!C12+#REF!+#REF!+'35.  пр.Мира 157'!C12+'36.  пр .Мира 161'!C12+'37.  пр.Мира 163'!C12+'38. Мира 161-А'!C12+'39.  пр.Мира 163А '!C12+'40. Победы 4 '!C12+'41. Победы 6'!C12+'42. Победы 6-А-1'!C12+'42. Победы 6-Б'!C12+'43. Победы 8'!C12+'44. Победы 10'!C13+'45. Победы 10-Б'!C13+'46. Победы 12'!C12+'47. Победы 14'!C12+'48. Победы 16'!C12+'49. Победы 18'!C12+'50. Победы 26'!C12+'51. Победы 48'!C12+'52.  пр.Победы 50'!C12+#REF!+'54.  пр.Победы 12А '!C12+#REF!+#REF!+#REF!+#REF!+#REF!+#REF!+#REF!+'62.  Поповича 14'!C12+#REF!+#REF!+#REF!+#REF!+#REF!+'68.  Поповича 25 '!C12+#REF!+#REF!+'71.  Поповича 43'!C12+'72.  Поповича 45'!C12+'73.  Поповича 47'!C12+#REF!+#REF!+#REF!+#REF!+#REF!+#REF!+'80.  Поповича 18А'!C14+#REF!+#REF!+#REF!+#REF!+#REF!+#REF!+'87.  Поповича 20А'!C12+#REF!+#REF!+#REF!+'91.  Поповича 22А'!C12+#REF!+#REF!+'94.  Поповича 24А'!C12+'95.  Поповича 43А'!C12+'96.  Поповича 45А'!C12+#REF!+'98.  Физкультурная 122'!C12+'99.  Физкультурная 124'!C12+'100.  Физкультурная 126'!C12+'101.  Физкультурная 128'!C12+'102.  Физкультурная 130'!C12+'103.  Физкультурная 124А'!C12+#REF!+'105.  Физкультурная 126А'!C12+'106.  Физкультурная 126Б'!C12</f>
        <v>#REF!</v>
      </c>
    </row>
    <row r="13" spans="1:3" ht="15">
      <c r="A13" s="40" t="s">
        <v>98</v>
      </c>
      <c r="B13" s="92" t="e">
        <f>'1.  Анкудинова 1 '!C13+'2.  Анкудинова 3'!C13+'3.  Анкудинова 5'!B13+'4.  Анкудинова 7'!B13+'5.  Анкудинова 9'!B13+'6.  Анкудинова 11'!B13+'7.  Анкудинова 13'!B13+#REF!+'9.  Анкудинова 17'!B13+'10.  Анкудинова 3Б'!B13+'11.  Анкудинова 5А'!B13+'12.  Анкудинова  11А '!B13+'13.  Анкудинова 17А '!B13+'14. Тихоокеанская 27'!B13+'15. Горького 12'!B13+'16. Горького 14'!B13+'17. Горького 16'!B13+'18. Горького 18'!B13+'19. Горького 20'!B13+'20. Горького 22'!B13+'21. Горького 14А'!B13+#REF!+'23. Комсомольская 165'!B13+'24. Комсомольская 167'!B13+'25. Комсомольская 169'!B13+#REF!+#REF!+'28.  Комсомольская 191'!B13+'29.  Комсомольская 193'!B13+'30.  Комсомольская 195'!B13+#REF!+'32. Комсомольская 167А'!B13+#REF!+#REF!+'35.  пр.Мира 157'!B13+'36.  пр .Мира 161'!B13+'37.  пр.Мира 163'!B13+'38. Мира 161-А'!B13+'39.  пр.Мира 163А '!B13+'40. Победы 4 '!B13+'41. Победы 6'!B13+'42. Победы 6-А-1'!B13+'42. Победы 6-Б'!B13+'43. Победы 8'!B13+'44. Победы 10'!B14+'45. Победы 10-Б'!B14+'46. Победы 12'!B13+'47. Победы 14'!B13+'48. Победы 16'!B13+'49. Победы 18'!B13+'50. Победы 26'!B13+'51. Победы 48'!B13+'52.  пр.Победы 50'!B13+#REF!+'54.  пр.Победы 12А '!B13+#REF!+#REF!+#REF!+#REF!+#REF!+#REF!+#REF!+'62.  Поповича 14'!B13+#REF!+#REF!+#REF!+#REF!+#REF!+'68.  Поповича 25 '!B13+#REF!+#REF!+'71.  Поповича 43'!B13+'72.  Поповича 45'!B13+'73.  Поповича 47'!B13+#REF!+#REF!+#REF!+#REF!+#REF!+#REF!+'80.  Поповича 18А'!B15+#REF!+#REF!+#REF!+#REF!+#REF!+#REF!+'87.  Поповича 20А'!B13+#REF!+#REF!+#REF!+'91.  Поповича 22А'!B13+#REF!+#REF!+'94.  Поповича 24А'!B13+'95.  Поповича 43А'!B13+'96.  Поповича 45А'!B13+#REF!+'98.  Физкультурная 122'!B13+'99.  Физкультурная 124'!B13+'100.  Физкультурная 126'!B13+'101.  Физкультурная 128'!B13+'102.  Физкультурная 130'!B13+'103.  Физкультурная 124А'!B13+#REF!+'105.  Физкультурная 126А'!B13+'106.  Физкультурная 126Б'!B13</f>
        <v>#VALUE!</v>
      </c>
      <c r="C13" s="123"/>
    </row>
    <row r="14" spans="1:5" ht="15">
      <c r="A14" s="40" t="s">
        <v>100</v>
      </c>
      <c r="B14" s="92" t="e">
        <f>'1.  Анкудинова 1 '!#REF!+'2.  Анкудинова 3'!C14+'3.  Анкудинова 5'!B14+'4.  Анкудинова 7'!B14+'5.  Анкудинова 9'!B14+'6.  Анкудинова 11'!B14+'7.  Анкудинова 13'!B14+#REF!+'9.  Анкудинова 17'!B14+'10.  Анкудинова 3Б'!B14+'11.  Анкудинова 5А'!B14+'12.  Анкудинова  11А '!B14+'13.  Анкудинова 17А '!B14+'14. Тихоокеанская 27'!B14+'15. Горького 12'!B14+'16. Горького 14'!B14+'17. Горького 16'!B14+'18. Горького 18'!B14+'19. Горького 20'!B14+'20. Горького 22'!B14+'21. Горького 14А'!B14+#REF!+'23. Комсомольская 165'!B14+'24. Комсомольская 167'!B14+'25. Комсомольская 169'!B14+#REF!+#REF!+'28.  Комсомольская 191'!B14+'29.  Комсомольская 193'!B14+'30.  Комсомольская 195'!B14+#REF!+'32. Комсомольская 167А'!B14+#REF!+#REF!+'35.  пр.Мира 157'!B14+'36.  пр .Мира 161'!B14+'37.  пр.Мира 163'!B14+'38. Мира 161-А'!B14+'39.  пр.Мира 163А '!B14+'40. Победы 4 '!B14+'41. Победы 6'!B14+'42. Победы 6-А-1'!B14+'42. Победы 6-Б'!B14+'43. Победы 8'!B14+'44. Победы 10'!B15+'45. Победы 10-Б'!B15+'46. Победы 12'!B14+'47. Победы 14'!B14+'48. Победы 16'!B14+'49. Победы 18'!B14+'50. Победы 26'!B14+'51. Победы 48'!B14+'52.  пр.Победы 50'!B14+#REF!+'54.  пр.Победы 12А '!B14+#REF!+#REF!+#REF!+#REF!+#REF!+#REF!+#REF!+'62.  Поповича 14'!B14+#REF!+#REF!+#REF!+#REF!+#REF!+'68.  Поповича 25 '!B14+#REF!+#REF!+'71.  Поповича 43'!B14+'72.  Поповича 45'!B14+'73.  Поповича 47'!B14+#REF!+#REF!+#REF!+#REF!+#REF!+#REF!+'80.  Поповича 18А'!B16+#REF!+#REF!+#REF!+#REF!+#REF!+#REF!+'87.  Поповича 20А'!B14+#REF!+#REF!+#REF!+'91.  Поповича 22А'!B14+#REF!+#REF!+'94.  Поповича 24А'!B14+'95.  Поповича 43А'!B14+'96.  Поповича 45А'!B14+#REF!+'98.  Физкультурная 122'!B14+'99.  Физкультурная 124'!B14+'100.  Физкультурная 126'!B14+'101.  Физкультурная 128'!B14+'102.  Физкультурная 130'!B14+'103.  Физкультурная 124А'!B14+#REF!+'105.  Физкультурная 126А'!B14+'106.  Физкультурная 126Б'!B14</f>
        <v>#REF!</v>
      </c>
      <c r="C14" s="123"/>
      <c r="E14" s="22"/>
    </row>
    <row r="15" spans="1:3" ht="15">
      <c r="A15" s="40" t="s">
        <v>85</v>
      </c>
      <c r="B15" s="92" t="e">
        <f>'1.  Анкудинова 1 '!#REF!+'2.  Анкудинова 3'!C15+'3.  Анкудинова 5'!B15+'4.  Анкудинова 7'!B15+'5.  Анкудинова 9'!B15+'6.  Анкудинова 11'!B15+'7.  Анкудинова 13'!B15+#REF!+'9.  Анкудинова 17'!B15+'10.  Анкудинова 3Б'!B15+'11.  Анкудинова 5А'!B15+'12.  Анкудинова  11А '!B15+'13.  Анкудинова 17А '!B15+'14. Тихоокеанская 27'!B15+'15. Горького 12'!B15+'16. Горького 14'!B15+'17. Горького 16'!B15+'18. Горького 18'!B15+'19. Горького 20'!B15+'20. Горького 22'!B15+'21. Горького 14А'!B15+#REF!+'23. Комсомольская 165'!B15+'24. Комсомольская 167'!B15+'25. Комсомольская 169'!B15+#REF!+#REF!+'28.  Комсомольская 191'!B15+'29.  Комсомольская 193'!B15+'30.  Комсомольская 195'!B15+#REF!+'32. Комсомольская 167А'!B15+#REF!+#REF!+'35.  пр.Мира 157'!B15+'36.  пр .Мира 161'!B15+'37.  пр.Мира 163'!B15+'38. Мира 161-А'!B15+'39.  пр.Мира 163А '!B15+'40. Победы 4 '!B15+'41. Победы 6'!B15+'42. Победы 6-А-1'!B15+'42. Победы 6-Б'!B15+'43. Победы 8'!B15+'44. Победы 10'!B16+'45. Победы 10-Б'!B16+'46. Победы 12'!B15+'47. Победы 14'!B15+'48. Победы 16'!B15+'49. Победы 18'!B15+'50. Победы 26'!B15+'51. Победы 48'!B15+'52.  пр.Победы 50'!B15+#REF!+'54.  пр.Победы 12А '!B15+#REF!+#REF!+#REF!+#REF!+#REF!+#REF!+#REF!+'62.  Поповича 14'!B15+#REF!+#REF!+#REF!+#REF!+#REF!+'68.  Поповича 25 '!B15+#REF!+#REF!+'71.  Поповича 43'!B15+'72.  Поповича 45'!B15+'73.  Поповича 47'!B15+#REF!+#REF!+#REF!+#REF!+#REF!+#REF!+'80.  Поповича 18А'!B17+#REF!+#REF!+#REF!+#REF!+#REF!+#REF!+'87.  Поповича 20А'!B15+#REF!+#REF!+#REF!+'91.  Поповича 22А'!B15+#REF!+#REF!+'94.  Поповича 24А'!B15+'95.  Поповича 43А'!B15+'96.  Поповича 45А'!B15+#REF!+'98.  Физкультурная 122'!B15+'99.  Физкультурная 124'!B15+'100.  Физкультурная 126'!B15+'101.  Физкультурная 128'!B15+'102.  Физкультурная 130'!B15+'103.  Физкультурная 124А'!B15+#REF!+'105.  Физкультурная 126А'!B15+'106.  Физкультурная 126Б'!B15</f>
        <v>#REF!</v>
      </c>
      <c r="C15" s="123" t="e">
        <f>'1.  Анкудинова 1 '!#REF!+'2.  Анкудинова 3'!D15+'3.  Анкудинова 5'!C15+'4.  Анкудинова 7'!C15+'5.  Анкудинова 9'!C15+'6.  Анкудинова 11'!C15+'7.  Анкудинова 13'!C15+#REF!+'9.  Анкудинова 17'!C15+'10.  Анкудинова 3Б'!C15+'11.  Анкудинова 5А'!C15+'12.  Анкудинова  11А '!C15+'13.  Анкудинова 17А '!C15+'14. Тихоокеанская 27'!C15+'15. Горького 12'!C15+'16. Горького 14'!C15+'17. Горького 16'!C15+'18. Горького 18'!C15+'19. Горького 20'!C15+'20. Горького 22'!C15+'21. Горького 14А'!C15+#REF!+'23. Комсомольская 165'!C15+'24. Комсомольская 167'!C15+'25. Комсомольская 169'!C15+#REF!+#REF!+'28.  Комсомольская 191'!C15+'29.  Комсомольская 193'!C15+'30.  Комсомольская 195'!C15+#REF!+'32. Комсомольская 167А'!C15+#REF!+#REF!+'35.  пр.Мира 157'!C15+'36.  пр .Мира 161'!C15+'37.  пр.Мира 163'!C15+'38. Мира 161-А'!C15+'39.  пр.Мира 163А '!C15+'40. Победы 4 '!C15+'41. Победы 6'!C15+'42. Победы 6-А-1'!C15+'42. Победы 6-Б'!C15+'43. Победы 8'!C15+'44. Победы 10'!C16+'45. Победы 10-Б'!C16+'46. Победы 12'!C15+'47. Победы 14'!C15+'48. Победы 16'!C15+'49. Победы 18'!C15+'50. Победы 26'!C15+'51. Победы 48'!C15+'52.  пр.Победы 50'!C15+#REF!+'54.  пр.Победы 12А '!C15+#REF!+#REF!+#REF!+#REF!+#REF!+#REF!+#REF!+'62.  Поповича 14'!C15+#REF!+#REF!+#REF!+#REF!+#REF!+'68.  Поповича 25 '!C15+#REF!+#REF!+'71.  Поповича 43'!C15+'72.  Поповича 45'!C15+'73.  Поповича 47'!C15+#REF!+#REF!+#REF!+#REF!+#REF!+#REF!+'80.  Поповича 18А'!C17+#REF!+#REF!+#REF!+#REF!+#REF!+#REF!+'87.  Поповича 20А'!C15+#REF!+#REF!+#REF!+'91.  Поповича 22А'!C15+#REF!+#REF!+'94.  Поповича 24А'!C15+'95.  Поповича 43А'!C15+'96.  Поповича 45А'!C15+#REF!+'98.  Физкультурная 122'!C15+'99.  Физкультурная 124'!C15+'100.  Физкультурная 126'!C15+'101.  Физкультурная 128'!C15+'102.  Физкультурная 130'!C15+'103.  Физкультурная 124А'!C15+#REF!+'105.  Физкультурная 126А'!C15+'106.  Физкультурная 126Б'!C15</f>
        <v>#REF!</v>
      </c>
    </row>
    <row r="16" spans="1:3" ht="15">
      <c r="A16" s="42" t="s">
        <v>2</v>
      </c>
      <c r="B16" s="92"/>
      <c r="C16" s="123" t="e">
        <f>'1.  Анкудинова 1 '!#REF!+'2.  Анкудинова 3'!D16+'3.  Анкудинова 5'!C16+'4.  Анкудинова 7'!C16+'5.  Анкудинова 9'!C16+'6.  Анкудинова 11'!C16+'7.  Анкудинова 13'!C16+#REF!+'9.  Анкудинова 17'!C16+'10.  Анкудинова 3Б'!C16+'11.  Анкудинова 5А'!C16+'12.  Анкудинова  11А '!C16+'13.  Анкудинова 17А '!C16+'14. Тихоокеанская 27'!C16+'15. Горького 12'!C16+'16. Горького 14'!C16+'17. Горького 16'!C16+'18. Горького 18'!C16+'19. Горького 20'!C16+'20. Горького 22'!C16+'21. Горького 14А'!C16+#REF!+'23. Комсомольская 165'!C16+'24. Комсомольская 167'!C16+'25. Комсомольская 169'!C16+#REF!+#REF!+'28.  Комсомольская 191'!C16+'29.  Комсомольская 193'!C16+'30.  Комсомольская 195'!C16+#REF!+'32. Комсомольская 167А'!C16+#REF!+#REF!+'35.  пр.Мира 157'!C16+'36.  пр .Мира 161'!C16+'37.  пр.Мира 163'!C16+'38. Мира 161-А'!C16+'39.  пр.Мира 163А '!C16+'40. Победы 4 '!C16+'41. Победы 6'!C16+'42. Победы 6-А-1'!C16+'42. Победы 6-Б'!C16+'43. Победы 8'!C16+'44. Победы 10'!C17+'45. Победы 10-Б'!C17+'46. Победы 12'!C16+'47. Победы 14'!C16+'48. Победы 16'!C16+'49. Победы 18'!C16+'50. Победы 26'!C16+'51. Победы 48'!C16+'52.  пр.Победы 50'!C16+#REF!+'54.  пр.Победы 12А '!C16+#REF!+#REF!+#REF!+#REF!+#REF!+#REF!+#REF!+'62.  Поповича 14'!C16+#REF!+#REF!+#REF!+#REF!+#REF!+'68.  Поповича 25 '!C16+#REF!+#REF!+'71.  Поповича 43'!C16+'72.  Поповича 45'!C16+'73.  Поповича 47'!C16+#REF!+#REF!+#REF!+#REF!+#REF!+#REF!+'80.  Поповича 18А'!C18+#REF!+#REF!+#REF!+#REF!+#REF!+#REF!+'87.  Поповича 20А'!C16+#REF!+#REF!+#REF!+'91.  Поповича 22А'!C16+#REF!+#REF!+'94.  Поповича 24А'!C16+'95.  Поповича 43А'!C16+'96.  Поповича 45А'!C16+#REF!+'98.  Физкультурная 122'!C16+'99.  Физкультурная 124'!C16+'100.  Физкультурная 126'!C16+'101.  Физкультурная 128'!C16+'102.  Физкультурная 130'!C16+'103.  Физкультурная 124А'!C16+#REF!+'105.  Физкультурная 126А'!C16+'106.  Физкультурная 126Б'!C16</f>
        <v>#REF!</v>
      </c>
    </row>
    <row r="17" spans="1:3" ht="15">
      <c r="A17" s="42" t="s">
        <v>63</v>
      </c>
      <c r="B17" s="92"/>
      <c r="C17" s="123" t="e">
        <f>'1.  Анкудинова 1 '!#REF!+'2.  Анкудинова 3'!D17+'3.  Анкудинова 5'!C17+'4.  Анкудинова 7'!C17+'5.  Анкудинова 9'!C17+'6.  Анкудинова 11'!C17+'7.  Анкудинова 13'!C17+#REF!+'9.  Анкудинова 17'!C17+'10.  Анкудинова 3Б'!C17+'11.  Анкудинова 5А'!C17+'12.  Анкудинова  11А '!C17+'13.  Анкудинова 17А '!C17+'14. Тихоокеанская 27'!C17+'15. Горького 12'!C17+'16. Горького 14'!C17+'17. Горького 16'!C17+'18. Горького 18'!C17+'19. Горького 20'!C17+'20. Горького 22'!C17+'21. Горького 14А'!C17+#REF!+'23. Комсомольская 165'!C17+'24. Комсомольская 167'!C17+'25. Комсомольская 169'!C17+#REF!+#REF!+'28.  Комсомольская 191'!C17+'29.  Комсомольская 193'!C17+'30.  Комсомольская 195'!C17+#REF!+'32. Комсомольская 167А'!C17+#REF!+#REF!+'35.  пр.Мира 157'!C17+'36.  пр .Мира 161'!C17+'37.  пр.Мира 163'!C17+'38. Мира 161-А'!C17+'39.  пр.Мира 163А '!C17+'40. Победы 4 '!C17+'41. Победы 6'!C17+'42. Победы 6-А-1'!C17+'42. Победы 6-Б'!C17+'43. Победы 8'!C17+'44. Победы 10'!C18+'45. Победы 10-Б'!C18+'46. Победы 12'!C17+'47. Победы 14'!C17+'48. Победы 16'!C17+'49. Победы 18'!C17+'50. Победы 26'!C17+'51. Победы 48'!C17+'52.  пр.Победы 50'!C17+#REF!+'54.  пр.Победы 12А '!C17+#REF!+#REF!+#REF!+#REF!+#REF!+#REF!+#REF!+'62.  Поповича 14'!C17+#REF!+#REF!+#REF!+#REF!+#REF!+'68.  Поповича 25 '!C17+#REF!+#REF!+'71.  Поповича 43'!C17+'72.  Поповича 45'!C17+'73.  Поповича 47'!C17+#REF!+#REF!+#REF!+#REF!+#REF!+#REF!+'80.  Поповича 18А'!C19+#REF!+#REF!+#REF!+#REF!+#REF!+#REF!+'87.  Поповича 20А'!C17+#REF!+#REF!+#REF!+'91.  Поповича 22А'!C17+#REF!+#REF!+'94.  Поповича 24А'!C17+'95.  Поповича 43А'!C17+'96.  Поповича 45А'!C17+#REF!+'98.  Физкультурная 122'!C17+'99.  Физкультурная 124'!C17+'100.  Физкультурная 126'!C17+'101.  Физкультурная 128'!C17+'102.  Физкультурная 130'!C17+'103.  Физкультурная 124А'!C17+#REF!+'105.  Физкультурная 126А'!C17+'106.  Физкультурная 126Б'!C17</f>
        <v>#REF!</v>
      </c>
    </row>
    <row r="18" spans="1:3" ht="14.25">
      <c r="A18" s="93" t="s">
        <v>83</v>
      </c>
      <c r="B18" s="92" t="e">
        <f>'1.  Анкудинова 1 '!#REF!+'2.  Анкудинова 3'!C18+'3.  Анкудинова 5'!B18+'4.  Анкудинова 7'!B18+'5.  Анкудинова 9'!B18+'6.  Анкудинова 11'!B18+'7.  Анкудинова 13'!B18+#REF!+'9.  Анкудинова 17'!B18+'10.  Анкудинова 3Б'!B18+'11.  Анкудинова 5А'!B18+'12.  Анкудинова  11А '!B18+'13.  Анкудинова 17А '!B18+'14. Тихоокеанская 27'!B18+'15. Горького 12'!B18+'16. Горького 14'!B18+'17. Горького 16'!B18+'18. Горького 18'!B18+'19. Горького 20'!B18+'20. Горького 22'!B18+'21. Горького 14А'!B18+#REF!+'23. Комсомольская 165'!B18+'24. Комсомольская 167'!B18+'25. Комсомольская 169'!B18+#REF!+#REF!+'28.  Комсомольская 191'!B18+'29.  Комсомольская 193'!B18+'30.  Комсомольская 195'!B18+#REF!+'32. Комсомольская 167А'!B18+#REF!+#REF!+'35.  пр.Мира 157'!B18+'36.  пр .Мира 161'!B18+'37.  пр.Мира 163'!B18+'38. Мира 161-А'!B18+'39.  пр.Мира 163А '!B18+'40. Победы 4 '!B18+'41. Победы 6'!B18+'42. Победы 6-А-1'!B18+'42. Победы 6-Б'!B18+'43. Победы 8'!B18+'44. Победы 10'!B19+'45. Победы 10-Б'!B19+'46. Победы 12'!B18+'47. Победы 14'!B18+'48. Победы 16'!B18+'49. Победы 18'!B18+'50. Победы 26'!B18+'51. Победы 48'!B18+'52.  пр.Победы 50'!B18+#REF!+'54.  пр.Победы 12А '!B18+#REF!+#REF!+#REF!+#REF!+#REF!+#REF!+#REF!+'62.  Поповича 14'!B18+#REF!+#REF!+#REF!+#REF!+#REF!+'68.  Поповича 25 '!B18+#REF!+#REF!+'71.  Поповича 43'!B18+'72.  Поповича 45'!B18+'73.  Поповича 47'!B18+#REF!+#REF!+#REF!+#REF!+#REF!+#REF!+'80.  Поповича 18А'!B20+#REF!+#REF!+#REF!+#REF!+#REF!+#REF!+'87.  Поповича 20А'!B18+#REF!+#REF!+#REF!+'91.  Поповича 22А'!B18+#REF!+#REF!+'94.  Поповича 24А'!B18+'95.  Поповича 43А'!B18+'96.  Поповича 45А'!B18+#REF!+'98.  Физкультурная 122'!B18+'99.  Физкультурная 124'!B18+'100.  Физкультурная 126'!B18+'101.  Физкультурная 128'!B18+'102.  Физкультурная 130'!B18+'103.  Физкультурная 124А'!B18+#REF!+'105.  Физкультурная 126А'!B18+'106.  Физкультурная 126Б'!B18</f>
        <v>#REF!</v>
      </c>
      <c r="C18" s="123"/>
    </row>
    <row r="19" spans="1:3" ht="14.25">
      <c r="A19" s="93" t="s">
        <v>92</v>
      </c>
      <c r="B19" s="92" t="e">
        <f>'1.  Анкудинова 1 '!#REF!+'2.  Анкудинова 3'!C19+'3.  Анкудинова 5'!B19+'4.  Анкудинова 7'!B19+'5.  Анкудинова 9'!B19+'6.  Анкудинова 11'!B19+'7.  Анкудинова 13'!B19+#REF!+'9.  Анкудинова 17'!B19+'10.  Анкудинова 3Б'!B19+'11.  Анкудинова 5А'!B19+'12.  Анкудинова  11А '!B19+'13.  Анкудинова 17А '!B19+'14. Тихоокеанская 27'!B19+'15. Горького 12'!B19+'16. Горького 14'!B19+'17. Горького 16'!B19+'18. Горького 18'!B19+'19. Горького 20'!B19+'20. Горького 22'!B19+'21. Горького 14А'!B19+#REF!+'23. Комсомольская 165'!B19+'24. Комсомольская 167'!B19+'25. Комсомольская 169'!B19+#REF!+#REF!+'28.  Комсомольская 191'!B19+'29.  Комсомольская 193'!B19+'30.  Комсомольская 195'!B19+#REF!+'32. Комсомольская 167А'!B19+#REF!+#REF!+'35.  пр.Мира 157'!B19+'36.  пр .Мира 161'!B19+'37.  пр.Мира 163'!B19+'38. Мира 161-А'!B19+'39.  пр.Мира 163А '!B19+'40. Победы 4 '!B19+'41. Победы 6'!B19+'42. Победы 6-А-1'!B19+'42. Победы 6-Б'!B19+'43. Победы 8'!B19+'44. Победы 10'!B20+'45. Победы 10-Б'!B20+'46. Победы 12'!B19+'47. Победы 14'!B19+'48. Победы 16'!B19+'49. Победы 18'!B19+'50. Победы 26'!B19+'51. Победы 48'!B19+'52.  пр.Победы 50'!B19+#REF!+'54.  пр.Победы 12А '!B19+#REF!+#REF!+#REF!+#REF!+#REF!+#REF!+#REF!+'62.  Поповича 14'!B19+#REF!+#REF!+#REF!+#REF!+#REF!+'68.  Поповича 25 '!B19+#REF!+#REF!+'71.  Поповича 43'!B19+'72.  Поповича 45'!B19+'73.  Поповича 47'!B19+#REF!+#REF!+#REF!+#REF!+#REF!+#REF!+'80.  Поповича 18А'!B21+#REF!+#REF!+#REF!+#REF!+#REF!+#REF!+'87.  Поповича 20А'!B19+#REF!+#REF!+#REF!+'91.  Поповича 22А'!B19+#REF!+#REF!+'94.  Поповича 24А'!B19+'95.  Поповича 43А'!B19+'96.  Поповича 45А'!B19+#REF!+'98.  Физкультурная 122'!B19+'99.  Физкультурная 124'!B19+'100.  Физкультурная 126'!B19+'101.  Физкультурная 128'!B19+'102.  Физкультурная 130'!B19+'103.  Физкультурная 124А'!B19+#REF!+'105.  Физкультурная 126А'!B19+'106.  Физкультурная 126Б'!B19</f>
        <v>#REF!</v>
      </c>
      <c r="C19" s="123"/>
    </row>
    <row r="20" spans="1:3" ht="15">
      <c r="A20" s="62" t="s">
        <v>58</v>
      </c>
      <c r="B20" s="44"/>
      <c r="C20" s="45"/>
    </row>
    <row r="21" spans="1:3" ht="15" customHeight="1">
      <c r="A21" s="52" t="s">
        <v>51</v>
      </c>
      <c r="B21" s="51"/>
      <c r="C21" s="100" t="e">
        <f>'1.  Анкудинова 1 '!#REF!+'2.  Анкудинова 3'!D39+'3.  Анкудинова 5'!C36+'4.  Анкудинова 7'!C38+'5.  Анкудинова 9'!C37+'6.  Анкудинова 11'!C38+'7.  Анкудинова 13'!C38+#REF!+'9.  Анкудинова 17'!C39+'10.  Анкудинова 3Б'!C40+'11.  Анкудинова 5А'!C39+'12.  Анкудинова  11А '!C38+'13.  Анкудинова 17А '!C38+'14. Тихоокеанская 27'!C39+'15. Горького 12'!C38+'16. Горького 14'!C38+'17. Горького 16'!C38+'18. Горького 18'!C38+'19. Горького 20'!C38+'20. Горького 22'!C37+'21. Горького 14А'!C39+#REF!+'23. Комсомольская 165'!C38+'24. Комсомольская 167'!C38+'25. Комсомольская 169'!C39+#REF!+#REF!+'28.  Комсомольская 191'!C40+'29.  Комсомольская 193'!C39+'30.  Комсомольская 195'!C43+#REF!+'32. Комсомольская 167А'!C39+#REF!+#REF!+'35.  пр.Мира 157'!C39+'36.  пр .Мира 161'!C37+'37.  пр.Мира 163'!C39+'38. Мира 161-А'!C37+'39.  пр.Мира 163А '!C36+'40. Победы 4 '!C40+'41. Победы 6'!C38+'42. Победы 6-А-1'!C37+'42. Победы 6-Б'!C36+'43. Победы 8'!C37+'44. Победы 10'!C38+'45. Победы 10-Б'!C40+'46. Победы 12'!C38+'47. Победы 14'!C38+'48. Победы 16'!C38+'49. Победы 18'!C38+'50. Победы 26'!C38+'51. Победы 48'!C36+'52.  пр.Победы 50'!C36+#REF!+'54.  пр.Победы 12А '!C37+#REF!+#REF!+#REF!+#REF!+#REF!+#REF!+#REF!+'62.  Поповича 14'!C39+#REF!+#REF!+#REF!+#REF!+#REF!+'68.  Поповича 25 '!C40+#REF!+#REF!+'71.  Поповича 43'!C36+'72.  Поповича 45'!C37+'73.  Поповича 47'!C36+#REF!+#REF!+#REF!+#REF!+#REF!+#REF!+'80.  Поповича 18А'!C41+#REF!+#REF!+#REF!+#REF!+#REF!+#REF!+'87.  Поповича 20А'!C38+#REF!+#REF!+#REF!+'91.  Поповича 22А'!C39+#REF!+#REF!+'94.  Поповича 24А'!C36+'95.  Поповича 43А'!C37+'96.  Поповича 45А'!C37+#REF!+'98.  Физкультурная 122'!C36+'99.  Физкультурная 124'!C37+'100.  Физкультурная 126'!C36+'101.  Физкультурная 128'!C37+'102.  Физкультурная 130'!C37+'103.  Физкультурная 124А'!C36+#REF!+'105.  Физкультурная 126А'!C37+'106.  Физкультурная 126Б'!C34</f>
        <v>#REF!</v>
      </c>
    </row>
    <row r="22" spans="1:3" ht="15">
      <c r="A22" s="56" t="s">
        <v>52</v>
      </c>
      <c r="B22" s="53"/>
      <c r="C22" s="54"/>
    </row>
    <row r="23" spans="1:3" ht="15.75" thickBot="1">
      <c r="A23" s="50" t="s">
        <v>53</v>
      </c>
      <c r="B23" s="51"/>
      <c r="C23" s="114" t="e">
        <f>'1.  Анкудинова 1 '!#REF!+'2.  Анкудинова 3'!D41+'3.  Анкудинова 5'!C38+'4.  Анкудинова 7'!C40+'5.  Анкудинова 9'!C39+'6.  Анкудинова 11'!C40+'7.  Анкудинова 13'!C40+#REF!+'9.  Анкудинова 17'!C41+'10.  Анкудинова 3Б'!C42+'11.  Анкудинова 5А'!C41+'12.  Анкудинова  11А '!C40+'13.  Анкудинова 17А '!C40+'14. Тихоокеанская 27'!C41+'15. Горького 12'!C40+'16. Горького 14'!C40+'17. Горького 16'!C40+'18. Горького 18'!C40+'19. Горького 20'!C40+'20. Горького 22'!C39+'21. Горького 14А'!C41+#REF!+'23. Комсомольская 165'!C40+'24. Комсомольская 167'!C40+'25. Комсомольская 169'!C41+#REF!+#REF!+'28.  Комсомольская 191'!C42+'29.  Комсомольская 193'!C41+'30.  Комсомольская 195'!C46+#REF!+'32. Комсомольская 167А'!C41+#REF!+#REF!+'35.  пр.Мира 157'!C41+'36.  пр .Мира 161'!C39+'37.  пр.Мира 163'!C41+'38. Мира 161-А'!C39+'39.  пр.Мира 163А '!C38+'40. Победы 4 '!C42+'41. Победы 6'!C40+'42. Победы 6-А-1'!C39+'42. Победы 6-Б'!C38+'43. Победы 8'!C39+'44. Победы 10'!C40+'45. Победы 10-Б'!C42+'46. Победы 12'!C40+'47. Победы 14'!C40+'48. Победы 16'!C40+'49. Победы 18'!C40+'50. Победы 26'!C40+'51. Победы 48'!C38+'52.  пр.Победы 50'!C38+#REF!+'54.  пр.Победы 12А '!C39+#REF!+#REF!+#REF!+#REF!+#REF!+#REF!+#REF!+'62.  Поповича 14'!C41+#REF!+#REF!+#REF!+#REF!+#REF!+'68.  Поповича 25 '!C42+#REF!+#REF!+'71.  Поповича 43'!C38+'72.  Поповича 45'!C39+'73.  Поповича 47'!C38+#REF!+#REF!+#REF!+#REF!+#REF!+#REF!+'80.  Поповича 18А'!C44+#REF!+#REF!+#REF!+#REF!+#REF!+#REF!+'87.  Поповича 20А'!C40+#REF!+#REF!+#REF!+'91.  Поповича 22А'!C41+#REF!+#REF!+'94.  Поповича 24А'!C38+'95.  Поповича 43А'!C39+'96.  Поповича 45А'!C39+#REF!+'98.  Физкультурная 122'!C38+'99.  Физкультурная 124'!C39+'100.  Физкультурная 126'!C38+'101.  Физкультурная 128'!C39+'102.  Физкультурная 130'!C39+'103.  Физкультурная 124А'!C38+#REF!+'105.  Физкультурная 126А'!C39+'106.  Физкультурная 126Б'!C36</f>
        <v>#REF!</v>
      </c>
    </row>
    <row r="24" spans="1:3" ht="15.75" thickBot="1">
      <c r="A24" s="50" t="s">
        <v>43</v>
      </c>
      <c r="B24" s="51"/>
      <c r="C24" s="114" t="e">
        <f>'1.  Анкудинова 1 '!D35+'2.  Анкудинова 3'!D51+'3.  Анкудинова 5'!C45+'4.  Анкудинова 7'!C48+'5.  Анкудинова 9'!C48+'6.  Анкудинова 11'!C50+'7.  Анкудинова 13'!C46+#REF!+'9.  Анкудинова 17'!C50+'10.  Анкудинова 3Б'!C46+'11.  Анкудинова 5А'!C48+'12.  Анкудинова  11А '!C48+'13.  Анкудинова 17А '!C48+'14. Тихоокеанская 27'!C47+'15. Горького 12'!C49+'16. Горького 14'!C49+'17. Горького 16'!C47+'18. Горького 18'!C51+'19. Горького 20'!C50+'20. Горького 22'!C46+'21. Горького 14А'!C52+#REF!+'23. Комсомольская 165'!C50+'24. Комсомольская 167'!C50+'25. Комсомольская 169'!C45+#REF!+#REF!+'28.  Комсомольская 191'!C49+'29.  Комсомольская 193'!C50+'30.  Комсомольская 195'!C52+#REF!+'32. Комсомольская 167А'!C51+#REF!+#REF!+'35.  пр.Мира 157'!C50+'36.  пр .Мира 161'!C46+'37.  пр.Мира 163'!C49+'38. Мира 161-А'!C44+'39.  пр.Мира 163А '!C46+'40. Победы 4 '!C53+'41. Победы 6'!C50+'42. Победы 6-А-1'!C45+'42. Победы 6-Б'!C44+'43. Победы 8'!C48+'44. Победы 10'!C50+'45. Победы 10-Б'!C49+'46. Победы 12'!C48+'47. Победы 14'!C48+'48. Победы 16'!C47+'49. Победы 18'!C47+'50. Победы 26'!C47+'51. Победы 48'!C44+'52.  пр.Победы 50'!C44+#REF!+'54.  пр.Победы 12А '!C48+#REF!+#REF!+#REF!+#REF!+#REF!+#REF!+#REF!+'62.  Поповича 14'!C48+#REF!+#REF!+#REF!+#REF!+#REF!+'68.  Поповича 25 '!C52+#REF!+#REF!+'71.  Поповича 43'!C46+'72.  Поповича 45'!C48+'73.  Поповича 47'!C45+#REF!+#REF!+#REF!+#REF!+#REF!+#REF!+'80.  Поповича 18А'!C50+#REF!+#REF!+#REF!+#REF!+#REF!+#REF!+'87.  Поповича 20А'!C48+#REF!+#REF!+#REF!+'91.  Поповича 22А'!C49+#REF!+#REF!+'94.  Поповича 24А'!C44+'95.  Поповича 43А'!C45+'96.  Поповича 45А'!C47+#REF!+'98.  Физкультурная 122'!C45+'99.  Физкультурная 124'!C47+'100.  Физкультурная 126'!C46+'101.  Физкультурная 128'!C46+'102.  Физкультурная 130'!C47+'103.  Физкультурная 124А'!C45+#REF!+'105.  Физкультурная 126А'!C46+'106.  Физкультурная 126Б'!C40</f>
        <v>#REF!</v>
      </c>
    </row>
    <row r="25" spans="1:3" ht="15.75" thickBot="1">
      <c r="A25" s="50" t="s">
        <v>38</v>
      </c>
      <c r="B25" s="55"/>
      <c r="C25" s="114" t="e">
        <f>'1.  Анкудинова 1 '!D37+'2.  Анкудинова 3'!D58+'3.  Анкудинова 5'!C53+'4.  Анкудинова 7'!C54+'5.  Анкудинова 9'!C55+'6.  Анкудинова 11'!C57+'7.  Анкудинова 13'!C52+#REF!+'9.  Анкудинова 17'!C57+'10.  Анкудинова 3Б'!C52+'11.  Анкудинова 5А'!C53+'12.  Анкудинова  11А '!C56+'13.  Анкудинова 17А '!C54+'14. Тихоокеанская 27'!C54+'15. Горького 12'!C58+'16. Горького 14'!C59+'17. Горького 16'!C54+'18. Горького 18'!C57+'19. Горького 20'!C57+'20. Горького 22'!C53+'21. Горького 14А'!C58+#REF!+'23. Комсомольская 165'!C56+'24. Комсомольская 167'!C56+'25. Комсомольская 169'!C51+#REF!+#REF!+'28.  Комсомольская 191'!C55+'29.  Комсомольская 193'!C55+'30.  Комсомольская 195'!C58+#REF!+'32. Комсомольская 167А'!C59+#REF!+#REF!+'35.  пр.Мира 157'!C55+'36.  пр .Мира 161'!C53+'37.  пр.Мира 163'!C55+'38. Мира 161-А'!C49+'39.  пр.Мира 163А '!C53+'40. Победы 4 '!C60+'41. Победы 6'!C56+'42. Победы 6-А-1'!C50+'42. Победы 6-Б'!C50+'43. Победы 8'!C55+'44. Победы 10'!C55+'45. Победы 10-Б'!C53+'46. Победы 12'!C54+'47. Победы 14'!C54+'48. Победы 16'!C52+'49. Победы 18'!C57+'50. Победы 26'!C54+'51. Победы 48'!C49+'52.  пр.Победы 50'!C50+#REF!+'54.  пр.Победы 12А '!C55+#REF!+#REF!+#REF!+#REF!+#REF!+#REF!+#REF!+'62.  Поповича 14'!C55+#REF!+#REF!+#REF!+#REF!+#REF!+'68.  Поповича 25 '!C60+#REF!+#REF!+'71.  Поповича 43'!C51+'72.  Поповича 45'!C55+'73.  Поповича 47'!C52+#REF!+#REF!+#REF!+#REF!+#REF!+#REF!+'80.  Поповича 18А'!C57+#REF!+#REF!+#REF!+#REF!+#REF!+#REF!+'87.  Поповича 20А'!C55+#REF!+#REF!+#REF!+'91.  Поповича 22А'!C56+#REF!+#REF!+'94.  Поповича 24А'!C52+'95.  Поповича 43А'!C52+'96.  Поповича 45А'!C53+#REF!+'98.  Физкультурная 122'!C49+'99.  Физкультурная 124'!C51+'100.  Физкультурная 126'!C51+'101.  Физкультурная 128'!C52+'102.  Физкультурная 130'!C53+'103.  Физкультурная 124А'!C50+#REF!+'105.  Физкультурная 126А'!C51+'106.  Физкультурная 126Б'!C45</f>
        <v>#REF!</v>
      </c>
    </row>
    <row r="26" spans="1:3" ht="15.75" thickBot="1">
      <c r="A26" s="111" t="s">
        <v>51</v>
      </c>
      <c r="B26" s="60"/>
      <c r="C26" s="114" t="e">
        <f>'1.  Анкудинова 1 '!D44+'2.  Анкудинова 3'!D62+'3.  Анкудинова 5'!C56+'4.  Анкудинова 7'!C56+'5.  Анкудинова 9'!C59+'6.  Анкудинова 11'!C61+'7.  Анкудинова 13'!C55+#REF!+'9.  Анкудинова 17'!C62+'10.  Анкудинова 3Б'!C55+'11.  Анкудинова 5А'!C56+'12.  Анкудинова  11А '!C59+'13.  Анкудинова 17А '!C57+'14. Тихоокеанская 27'!C58+'15. Горького 12'!C63+'16. Горького 14'!C63+'17. Горького 16'!C57+'18. Горького 18'!C60+'19. Горького 20'!C61+'20. Горького 22'!C56+'21. Горького 14А'!C62+#REF!+'23. Комсомольская 165'!C60+'24. Комсомольская 167'!C59+'25. Комсомольская 169'!C54+#REF!+#REF!+'28.  Комсомольская 191'!C58+'29.  Комсомольская 193'!C58+'30.  Комсомольская 195'!C61+#REF!+'32. Комсомольская 167А'!C62+#REF!+#REF!+'35.  пр.Мира 157'!C59+'36.  пр .Мира 161'!C57+'37.  пр.Мира 163'!C59+'38. Мира 161-А'!C52+'39.  пр.Мира 163А '!C56+'40. Победы 4 '!C65+'41. Победы 6'!C60+'42. Победы 6-А-1'!C53+'42. Победы 6-Б'!C52+'43. Победы 8'!C59+'44. Победы 10'!C59+'45. Победы 10-Б'!C57+'46. Победы 12'!C58+'47. Победы 14'!C58+'48. Победы 16'!C55+'49. Победы 18'!C60+'50. Победы 26'!C58+'51. Победы 48'!C51+'52.  пр.Победы 50'!C54+#REF!+'54.  пр.Победы 12А '!C58+#REF!+#REF!+#REF!+#REF!+#REF!+#REF!+#REF!+'62.  Поповича 14'!C59+#REF!+#REF!+#REF!+#REF!+#REF!+'68.  Поповича 25 '!C63+#REF!+#REF!+'71.  Поповича 43'!C53+'72.  Поповича 45'!C59+'73.  Поповича 47'!C54+#REF!+#REF!+#REF!+#REF!+#REF!+#REF!+'80.  Поповича 18А'!C61+#REF!+#REF!+#REF!+#REF!+#REF!+#REF!+'87.  Поповича 20А'!C58+#REF!+#REF!+#REF!+'91.  Поповича 22А'!C59+#REF!+#REF!+'94.  Поповича 24А'!C54+'95.  Поповича 43А'!C56+'96.  Поповича 45А'!C56+#REF!+'98.  Физкультурная 122'!C52+'99.  Физкультурная 124'!C54+'100.  Физкультурная 126'!C54+'101.  Физкультурная 128'!C55+'102.  Физкультурная 130'!C55+'103.  Физкультурная 124А'!C53+#REF!+'105.  Физкультурная 126А'!C53+'106.  Физкультурная 126Б'!C47</f>
        <v>#REF!</v>
      </c>
    </row>
    <row r="27" spans="1:3" ht="30.75" thickBot="1">
      <c r="A27" s="99" t="s">
        <v>0</v>
      </c>
      <c r="B27" s="116" t="s">
        <v>1</v>
      </c>
      <c r="C27" s="114" t="e">
        <f>'1.  Анкудинова 1 '!#REF!+'2.  Анкудинова 3'!D63+'3.  Анкудинова 5'!C57+'4.  Анкудинова 7'!C57+'5.  Анкудинова 9'!C60+'6.  Анкудинова 11'!C62+'7.  Анкудинова 13'!C56+#REF!+'9.  Анкудинова 17'!C63+'10.  Анкудинова 3Б'!C56+'11.  Анкудинова 5А'!C57+'12.  Анкудинова  11А '!C60+'13.  Анкудинова 17А '!C58+'14. Тихоокеанская 27'!C59+'15. Горького 12'!C64+'16. Горького 14'!C64+'17. Горького 16'!C58+'18. Горького 18'!C61+'19. Горького 20'!C62+'20. Горького 22'!C57+'21. Горького 14А'!C63+#REF!+'23. Комсомольская 165'!C61+'24. Комсомольская 167'!C60+'25. Комсомольская 169'!C55+#REF!+#REF!+'28.  Комсомольская 191'!C59+'29.  Комсомольская 193'!C59+'30.  Комсомольская 195'!C62+#REF!+'32. Комсомольская 167А'!C63+#REF!+#REF!+'35.  пр.Мира 157'!C60+'36.  пр .Мира 161'!C58+'37.  пр.Мира 163'!C60+'38. Мира 161-А'!C53+'39.  пр.Мира 163А '!C57+'40. Победы 4 '!C66+'41. Победы 6'!C61+'42. Победы 6-А-1'!C54+'42. Победы 6-Б'!C53+'43. Победы 8'!C60+'44. Победы 10'!C60+'45. Победы 10-Б'!C58+'46. Победы 12'!C59+'47. Победы 14'!C59+'48. Победы 16'!C56+'49. Победы 18'!C61+'50. Победы 26'!C59+'51. Победы 48'!C52+'52.  пр.Победы 50'!C55+#REF!+'54.  пр.Победы 12А '!C59+#REF!+#REF!+#REF!+#REF!+#REF!+#REF!+#REF!+'62.  Поповича 14'!C60+#REF!+#REF!+#REF!+#REF!+#REF!+'68.  Поповича 25 '!C64+#REF!+#REF!+'71.  Поповича 43'!C54+'72.  Поповича 45'!C60+'73.  Поповича 47'!C55+#REF!+#REF!+#REF!+#REF!+#REF!+#REF!+'80.  Поповича 18А'!C62+#REF!+#REF!+#REF!+#REF!+#REF!+#REF!+'87.  Поповича 20А'!C59+#REF!+#REF!+#REF!+'91.  Поповича 22А'!C60+#REF!+#REF!+'94.  Поповича 24А'!C55+'95.  Поповича 43А'!C57+'96.  Поповича 45А'!C57+#REF!+'98.  Физкультурная 122'!C53+'99.  Физкультурная 124'!C55+'100.  Физкультурная 126'!C55+'101.  Физкультурная 128'!C56+'102.  Физкультурная 130'!C56+'103.  Физкультурная 124А'!C54+#REF!+'105.  Физкультурная 126А'!C54+'106.  Физкультурная 126Б'!C48</f>
        <v>#REF!</v>
      </c>
    </row>
    <row r="28" spans="1:3" ht="60.75" thickBot="1">
      <c r="A28" s="115" t="s">
        <v>88</v>
      </c>
      <c r="B28" s="116" t="s">
        <v>1</v>
      </c>
      <c r="C28" s="120" t="e">
        <f>'1.  Анкудинова 1 '!#REF!+'2.  Анкудинова 3'!D64+'3.  Анкудинова 5'!C58+'4.  Анкудинова 7'!C58+'5.  Анкудинова 9'!C61+'6.  Анкудинова 11'!C63+'7.  Анкудинова 13'!C57+#REF!+'9.  Анкудинова 17'!C64+'10.  Анкудинова 3Б'!C57+'11.  Анкудинова 5А'!C58+'12.  Анкудинова  11А '!C61+'13.  Анкудинова 17А '!C59+'14. Тихоокеанская 27'!C60+'15. Горького 12'!C65+'16. Горького 14'!C65+'17. Горького 16'!C59+'18. Горького 18'!C62+'19. Горького 20'!C63+'20. Горького 22'!C58+'21. Горького 14А'!C64+#REF!+'23. Комсомольская 165'!C62+'24. Комсомольская 167'!C61+'25. Комсомольская 169'!C56+#REF!+#REF!+'28.  Комсомольская 191'!C60+'29.  Комсомольская 193'!C60+'30.  Комсомольская 195'!C63+#REF!+'32. Комсомольская 167А'!C64+#REF!+#REF!+'35.  пр.Мира 157'!C61+'36.  пр .Мира 161'!C59+'37.  пр.Мира 163'!C61+'38. Мира 161-А'!C54+'39.  пр.Мира 163А '!C58+'40. Победы 4 '!C67+'41. Победы 6'!C62+'42. Победы 6-Б'!C54+'43. Победы 8'!C61+'44. Победы 10'!C61+'45. Победы 10-Б'!C59+'46. Победы 12'!C60+'47. Победы 14'!C60+'48. Победы 16'!C57+'49. Победы 18'!C62+'50. Победы 26'!C60+'51. Победы 48'!C53+'52.  пр.Победы 50'!C56+#REF!+'54.  пр.Победы 12А '!C60+#REF!+#REF!+#REF!+#REF!+#REF!+#REF!+#REF!+'62.  Поповича 14'!C61+#REF!+#REF!+#REF!+#REF!+#REF!+'68.  Поповича 25 '!C65+#REF!+#REF!+'71.  Поповича 43'!C55+'72.  Поповича 45'!C61+'73.  Поповича 47'!C56+#REF!+#REF!+#REF!+#REF!+#REF!+#REF!+'80.  Поповича 18А'!C63+#REF!+#REF!+#REF!+#REF!+#REF!+#REF!+'87.  Поповича 20А'!C60+#REF!+#REF!+#REF!+'91.  Поповича 22А'!C61+#REF!+#REF!+'94.  Поповича 24А'!C56+'95.  Поповича 43А'!C58+'96.  Поповича 45А'!C58+#REF!+'98.  Физкультурная 122'!C54+'99.  Физкультурная 124'!C56+'100.  Физкультурная 126'!C56+'101.  Физкультурная 128'!C57+'102.  Физкультурная 130'!C57+'103.  Физкультурная 124А'!C55+#REF!+'105.  Физкультурная 126А'!C55+'106.  Физкультурная 126Б'!C49+'42. Победы 6-А-1'!C55</f>
        <v>#REF!</v>
      </c>
    </row>
    <row r="29" spans="1:3" ht="15.75" thickBot="1">
      <c r="A29" s="112" t="s">
        <v>39</v>
      </c>
      <c r="B29" s="113"/>
      <c r="C29" s="114" t="e">
        <f>'1.  Анкудинова 1 '!#REF!+'2.  Анкудинова 3'!D65+'3.  Анкудинова 5'!C59+'4.  Анкудинова 7'!C59+'5.  Анкудинова 9'!C62+'6.  Анкудинова 11'!C64+'7.  Анкудинова 13'!C58+#REF!+'9.  Анкудинова 17'!C65+'10.  Анкудинова 3Б'!C58+'11.  Анкудинова 5А'!C59+'12.  Анкудинова  11А '!C62+'13.  Анкудинова 17А '!C60+'14. Тихоокеанская 27'!C61+'15. Горького 12'!C66+'16. Горького 14'!C66+'17. Горького 16'!C60+'18. Горького 18'!C63+'19. Горького 20'!C64+'20. Горького 22'!C59+'21. Горького 14А'!C65+#REF!+'23. Комсомольская 165'!C63+'24. Комсомольская 167'!C62+'25. Комсомольская 169'!C57+#REF!+#REF!+'28.  Комсомольская 191'!C61+'29.  Комсомольская 193'!C61+'30.  Комсомольская 195'!C64+#REF!+'32. Комсомольская 167А'!C65+#REF!+#REF!+'35.  пр.Мира 157'!C62+'36.  пр .Мира 161'!C60+'37.  пр.Мира 163'!C62+'38. Мира 161-А'!C55+'39.  пр.Мира 163А '!C59+'40. Победы 4 '!C68+'41. Победы 6'!C63+'42. Победы 6-Б'!C55+'43. Победы 8'!C62+'44. Победы 10'!C62+'45. Победы 10-Б'!C60+'46. Победы 12'!C61+'47. Победы 14'!C61+'48. Победы 16'!C58+'49. Победы 18'!C63+'50. Победы 26'!C61+'51. Победы 48'!C54+'52.  пр.Победы 50'!C57+#REF!+'54.  пр.Победы 12А '!C61+#REF!+#REF!+#REF!+#REF!+#REF!+#REF!+#REF!+'62.  Поповича 14'!C62+#REF!+#REF!+#REF!+#REF!+#REF!+'68.  Поповича 25 '!C66+#REF!+#REF!+'71.  Поповича 43'!C56+'72.  Поповича 45'!C62+'73.  Поповича 47'!C57+#REF!+#REF!+#REF!+#REF!+#REF!+#REF!+'80.  Поповича 18А'!C64+#REF!+#REF!+#REF!+#REF!+#REF!+#REF!+'87.  Поповича 20А'!C61+#REF!+#REF!+#REF!+'91.  Поповича 22А'!C62+#REF!+#REF!+'94.  Поповича 24А'!C57+'95.  Поповича 43А'!C59+'96.  Поповича 45А'!C59+#REF!+'98.  Физкультурная 122'!C55+'99.  Физкультурная 124'!C57+'100.  Физкультурная 126'!C57+'101.  Физкультурная 128'!C58+'102.  Физкультурная 130'!C58+'103.  Физкультурная 124А'!C56+#REF!+'105.  Физкультурная 126А'!C56+'106.  Физкультурная 126Б'!C50+'42. Победы 6-А-1'!C56</f>
        <v>#REF!</v>
      </c>
    </row>
    <row r="30" spans="1:3" ht="20.25">
      <c r="A30" s="304"/>
      <c r="B30" s="304"/>
      <c r="C30" s="304"/>
    </row>
    <row r="31" spans="1:3" ht="20.25">
      <c r="A31" s="304"/>
      <c r="B31" s="304"/>
      <c r="C31" s="304"/>
    </row>
    <row r="32" spans="1:3" ht="20.25">
      <c r="A32" s="304"/>
      <c r="B32" s="304"/>
      <c r="C32" s="304"/>
    </row>
    <row r="33" spans="1:3" ht="12.75">
      <c r="A33" s="107"/>
      <c r="B33" s="107"/>
      <c r="C33" s="107"/>
    </row>
    <row r="34" spans="1:3" ht="12.75">
      <c r="A34" s="107"/>
      <c r="B34" s="107"/>
      <c r="C34" s="107"/>
    </row>
    <row r="35" spans="1:3" ht="15.75">
      <c r="A35" s="107"/>
      <c r="B35" s="108"/>
      <c r="C35" s="108"/>
    </row>
    <row r="36" spans="1:3" ht="12.75">
      <c r="A36" s="109"/>
      <c r="B36" s="109"/>
      <c r="C36" s="109"/>
    </row>
  </sheetData>
  <sheetProtection/>
  <mergeCells count="6">
    <mergeCell ref="A30:C30"/>
    <mergeCell ref="A31:C31"/>
    <mergeCell ref="A32:C32"/>
    <mergeCell ref="A1:C1"/>
    <mergeCell ref="A2:C2"/>
    <mergeCell ref="A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22">
      <selection activeCell="F18" sqref="F1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69" t="s">
        <v>37</v>
      </c>
      <c r="C1" s="269"/>
      <c r="D1" s="269"/>
    </row>
    <row r="2" spans="2:4" ht="14.25">
      <c r="B2" s="270" t="s">
        <v>128</v>
      </c>
      <c r="C2" s="270"/>
      <c r="D2" s="270"/>
    </row>
    <row r="3" spans="2:4" ht="14.25">
      <c r="B3" s="269" t="s">
        <v>351</v>
      </c>
      <c r="C3" s="269"/>
      <c r="D3" s="269"/>
    </row>
    <row r="4" spans="2:5" ht="15.75" thickBot="1">
      <c r="B4" s="57" t="s">
        <v>217</v>
      </c>
      <c r="C4" s="224">
        <f>'Свод 2021'!H11</f>
        <v>5358</v>
      </c>
      <c r="D4" s="215">
        <f>'Свод 2021'!J11</f>
        <v>20.88</v>
      </c>
      <c r="E4" s="22"/>
    </row>
    <row r="5" spans="2:5" ht="31.5" customHeight="1" thickBot="1">
      <c r="B5" s="36" t="s">
        <v>54</v>
      </c>
      <c r="C5" s="275" t="s">
        <v>150</v>
      </c>
      <c r="D5" s="276"/>
      <c r="E5" s="22">
        <f>'Свод 2021'!H11</f>
        <v>5358</v>
      </c>
    </row>
    <row r="6" spans="2:4" ht="30">
      <c r="B6" s="178" t="s">
        <v>338</v>
      </c>
      <c r="C6" s="277">
        <f>'Свод 2021'!K11</f>
        <v>443004.4600000004</v>
      </c>
      <c r="D6" s="278"/>
    </row>
    <row r="7" spans="2:4" ht="15">
      <c r="B7" s="40" t="s">
        <v>339</v>
      </c>
      <c r="C7" s="266">
        <f>'Свод 2021'!L11</f>
        <v>1311606.84</v>
      </c>
      <c r="D7" s="267"/>
    </row>
    <row r="8" spans="2:4" ht="15">
      <c r="B8" s="40" t="s">
        <v>340</v>
      </c>
      <c r="C8" s="266">
        <f>'Свод 2021'!M11</f>
        <v>1307554.98</v>
      </c>
      <c r="D8" s="267"/>
    </row>
    <row r="9" spans="2:4" ht="15">
      <c r="B9" s="40" t="s">
        <v>127</v>
      </c>
      <c r="C9" s="266" t="str">
        <f>'Свод 2021'!N4</f>
        <v>-0,01</v>
      </c>
      <c r="D9" s="267"/>
    </row>
    <row r="10" spans="2:6" ht="28.5">
      <c r="B10" s="41" t="s">
        <v>147</v>
      </c>
      <c r="C10" s="279">
        <f>C6+C7-C8-C9</f>
        <v>447056.33000000054</v>
      </c>
      <c r="D10" s="280"/>
      <c r="E10" s="22">
        <f>'Свод 2021'!O11</f>
        <v>447056.32000000053</v>
      </c>
      <c r="F10" s="125"/>
    </row>
    <row r="11" spans="2:4" ht="30">
      <c r="B11" s="178" t="s">
        <v>323</v>
      </c>
      <c r="C11" s="266">
        <f>'Свод 2021'!Q11</f>
        <v>-1266.11</v>
      </c>
      <c r="D11" s="267"/>
    </row>
    <row r="12" spans="2:4" ht="15">
      <c r="B12" s="40" t="s">
        <v>342</v>
      </c>
      <c r="C12" s="266">
        <f>'Свод 2021'!R11</f>
        <v>64568.29000000001</v>
      </c>
      <c r="D12" s="267"/>
    </row>
    <row r="13" spans="2:4" ht="15">
      <c r="B13" s="40" t="s">
        <v>343</v>
      </c>
      <c r="C13" s="266">
        <f>'Свод 2021'!S11</f>
        <v>63302.18000000001</v>
      </c>
      <c r="D13" s="267"/>
    </row>
    <row r="14" spans="2:6" ht="28.5">
      <c r="B14" s="41" t="s">
        <v>151</v>
      </c>
      <c r="C14" s="279">
        <f>C11+C12-C13</f>
        <v>0</v>
      </c>
      <c r="D14" s="280"/>
      <c r="E14" s="22">
        <f>'Свод 2021'!T11</f>
        <v>0</v>
      </c>
      <c r="F14" s="22"/>
    </row>
    <row r="15" spans="2:4" ht="14.25">
      <c r="B15" s="271" t="s">
        <v>79</v>
      </c>
      <c r="C15" s="272"/>
      <c r="D15" s="273"/>
    </row>
    <row r="16" spans="2:4" ht="14.25">
      <c r="B16" s="271" t="s">
        <v>344</v>
      </c>
      <c r="C16" s="272"/>
      <c r="D16" s="273"/>
    </row>
    <row r="17" spans="2:4" ht="15">
      <c r="B17" s="43" t="s">
        <v>56</v>
      </c>
      <c r="C17" s="281" t="s">
        <v>57</v>
      </c>
      <c r="D17" s="283"/>
    </row>
    <row r="18" spans="2:4" ht="30.75" thickBot="1">
      <c r="B18" s="147" t="s">
        <v>132</v>
      </c>
      <c r="C18" s="282"/>
      <c r="D18" s="283"/>
    </row>
    <row r="19" spans="2:4" ht="89.25">
      <c r="B19" s="171" t="s">
        <v>156</v>
      </c>
      <c r="C19" s="150" t="s">
        <v>169</v>
      </c>
      <c r="D19" s="288">
        <f>'Свод 2021'!W11</f>
        <v>392848.56</v>
      </c>
    </row>
    <row r="20" spans="2:5" ht="15.75" thickBot="1">
      <c r="B20" s="158" t="s">
        <v>152</v>
      </c>
      <c r="C20" s="97" t="s">
        <v>143</v>
      </c>
      <c r="D20" s="289"/>
      <c r="E20" t="s">
        <v>180</v>
      </c>
    </row>
    <row r="21" spans="2:4" ht="30">
      <c r="B21" s="105" t="s">
        <v>160</v>
      </c>
      <c r="C21" s="106" t="s">
        <v>157</v>
      </c>
      <c r="D21" s="170">
        <f>'Свод 2021'!U11</f>
        <v>4500.72</v>
      </c>
    </row>
    <row r="22" spans="2:4" ht="15">
      <c r="B22" s="46" t="s">
        <v>134</v>
      </c>
      <c r="C22" s="47" t="s">
        <v>60</v>
      </c>
      <c r="D22" s="48">
        <f>'Свод 2021'!V11</f>
        <v>21570.42</v>
      </c>
    </row>
    <row r="23" spans="2:4" ht="30">
      <c r="B23" s="46" t="s">
        <v>161</v>
      </c>
      <c r="C23" s="94" t="s">
        <v>138</v>
      </c>
      <c r="D23" s="48">
        <f>'Свод 2021'!AA11+'Свод 2021'!Z11</f>
        <v>61081.2</v>
      </c>
    </row>
    <row r="24" spans="2:4" ht="28.5" customHeight="1">
      <c r="B24" s="124" t="s">
        <v>141</v>
      </c>
      <c r="C24" s="49" t="s">
        <v>140</v>
      </c>
      <c r="D24" s="207">
        <f>'Свод 2021'!AC11</f>
        <v>3799.8900000000003</v>
      </c>
    </row>
    <row r="25" spans="2:4" ht="28.5" customHeight="1">
      <c r="B25" s="154" t="s">
        <v>142</v>
      </c>
      <c r="C25" s="98" t="s">
        <v>143</v>
      </c>
      <c r="D25" s="213">
        <f>'Свод 2021'!AB11</f>
        <v>2571.84</v>
      </c>
    </row>
    <row r="26" spans="2:4" ht="21.75" customHeight="1">
      <c r="B26" s="200" t="s">
        <v>153</v>
      </c>
      <c r="C26" s="47" t="s">
        <v>59</v>
      </c>
      <c r="D26" s="201">
        <f>'Свод 2021'!AD11</f>
        <v>56580.48</v>
      </c>
    </row>
    <row r="27" spans="2:4" ht="30.75" customHeight="1">
      <c r="B27" s="105" t="s">
        <v>144</v>
      </c>
      <c r="C27" s="164" t="s">
        <v>135</v>
      </c>
      <c r="D27" s="288">
        <f>'Свод 2021'!AE11</f>
        <v>208319.04</v>
      </c>
    </row>
    <row r="28" spans="2:4" ht="30.75" customHeight="1" hidden="1">
      <c r="B28" s="96" t="s">
        <v>4</v>
      </c>
      <c r="C28" s="97" t="s">
        <v>5</v>
      </c>
      <c r="D28" s="288"/>
    </row>
    <row r="29" spans="2:4" ht="15">
      <c r="B29" s="149" t="s">
        <v>136</v>
      </c>
      <c r="C29" s="98" t="s">
        <v>137</v>
      </c>
      <c r="D29" s="288"/>
    </row>
    <row r="30" spans="2:4" ht="30.75" thickBot="1">
      <c r="B30" s="177" t="s">
        <v>4</v>
      </c>
      <c r="C30" s="159" t="s">
        <v>5</v>
      </c>
      <c r="D30" s="289"/>
    </row>
    <row r="31" spans="2:4" ht="30">
      <c r="B31" s="175" t="s">
        <v>158</v>
      </c>
      <c r="C31" s="164" t="s">
        <v>166</v>
      </c>
      <c r="D31" s="176">
        <f>'Свод 2021'!AG11</f>
        <v>92586.24</v>
      </c>
    </row>
    <row r="32" spans="2:4" ht="30">
      <c r="B32" s="148" t="s">
        <v>133</v>
      </c>
      <c r="C32" s="53"/>
      <c r="D32" s="54"/>
    </row>
    <row r="33" spans="2:4" ht="59.25">
      <c r="B33" s="124" t="s">
        <v>182</v>
      </c>
      <c r="C33" s="94" t="s">
        <v>181</v>
      </c>
      <c r="D33" s="89">
        <f>'Свод 2021'!AI11</f>
        <v>199960.56</v>
      </c>
    </row>
    <row r="34" spans="2:4" ht="60.75" thickBot="1">
      <c r="B34" s="148" t="s">
        <v>162</v>
      </c>
      <c r="C34" s="151"/>
      <c r="D34" s="89"/>
    </row>
    <row r="35" spans="2:4" ht="15">
      <c r="B35" s="155" t="s">
        <v>129</v>
      </c>
      <c r="C35" s="156"/>
      <c r="D35" s="157"/>
    </row>
    <row r="36" spans="2:4" ht="120.75" thickBot="1">
      <c r="B36" s="158" t="s">
        <v>154</v>
      </c>
      <c r="C36" s="159" t="s">
        <v>139</v>
      </c>
      <c r="D36" s="160">
        <f>'Свод 2021'!AK11</f>
        <v>91081.2</v>
      </c>
    </row>
    <row r="37" spans="2:4" ht="15">
      <c r="B37" s="155" t="s">
        <v>130</v>
      </c>
      <c r="C37" s="161"/>
      <c r="D37" s="162"/>
    </row>
    <row r="38" spans="2:4" ht="45.75" thickBot="1">
      <c r="B38" s="158" t="s">
        <v>155</v>
      </c>
      <c r="C38" s="159" t="s">
        <v>139</v>
      </c>
      <c r="D38" s="163">
        <f>'Свод 2021'!AL11</f>
        <v>74008.64</v>
      </c>
    </row>
    <row r="39" spans="2:4" ht="15">
      <c r="B39" s="155" t="s">
        <v>131</v>
      </c>
      <c r="C39" s="165"/>
      <c r="D39" s="166"/>
    </row>
    <row r="40" spans="2:4" ht="44.25" customHeight="1" thickBot="1">
      <c r="B40" s="158" t="s">
        <v>148</v>
      </c>
      <c r="C40" s="159" t="s">
        <v>139</v>
      </c>
      <c r="D40" s="163">
        <f>'Свод 2021'!AM11</f>
        <v>93872.16</v>
      </c>
    </row>
    <row r="41" spans="2:4" ht="19.5" customHeight="1">
      <c r="B41" s="167" t="s">
        <v>149</v>
      </c>
      <c r="C41" s="150"/>
      <c r="D41" s="168"/>
    </row>
    <row r="42" spans="2:5" ht="120.75" thickBot="1">
      <c r="B42" s="158" t="s">
        <v>163</v>
      </c>
      <c r="C42" s="159" t="s">
        <v>139</v>
      </c>
      <c r="D42" s="104">
        <f>'Свод 2021'!AJ11</f>
        <v>104802.48</v>
      </c>
      <c r="E42" s="22">
        <f>D43-C8-C13</f>
        <v>36726.26999999971</v>
      </c>
    </row>
    <row r="43" spans="2:5" ht="15" thickBot="1">
      <c r="B43" s="227" t="s">
        <v>252</v>
      </c>
      <c r="C43" s="228"/>
      <c r="D43" s="229">
        <f>SUM(D19:D42)</f>
        <v>1407583.4299999997</v>
      </c>
      <c r="E43" s="22"/>
    </row>
    <row r="44" spans="2:4" ht="15" customHeight="1">
      <c r="B44" s="169" t="s">
        <v>145</v>
      </c>
      <c r="C44" s="284" t="s">
        <v>146</v>
      </c>
      <c r="D44" s="285"/>
    </row>
    <row r="45" spans="2:4" ht="52.5" customHeight="1" thickBot="1">
      <c r="B45" s="153" t="s">
        <v>159</v>
      </c>
      <c r="C45" s="286"/>
      <c r="D45" s="287"/>
    </row>
    <row r="46" spans="2:4" ht="14.25">
      <c r="B46" s="274" t="s">
        <v>226</v>
      </c>
      <c r="C46" s="274"/>
      <c r="D46" s="274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68" t="s">
        <v>87</v>
      </c>
      <c r="C49" s="268"/>
      <c r="D49" s="268"/>
    </row>
    <row r="50" spans="2:4" ht="20.25">
      <c r="B50" s="268" t="s">
        <v>50</v>
      </c>
      <c r="C50" s="268"/>
      <c r="D50" s="268"/>
    </row>
    <row r="51" spans="2:4" ht="20.25">
      <c r="B51" s="268" t="s">
        <v>49</v>
      </c>
      <c r="C51" s="268"/>
      <c r="D51" s="268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64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1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Жэу-7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2022-03-13T23:46:04Z</cp:lastPrinted>
  <dcterms:created xsi:type="dcterms:W3CDTF">2009-12-08T01:09:33Z</dcterms:created>
  <dcterms:modified xsi:type="dcterms:W3CDTF">2022-03-13T23:52:40Z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