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0" yWindow="1995" windowWidth="15480" windowHeight="5325" tabRatio="725"/>
  </bookViews>
  <sheets>
    <sheet name="Свод 2020" sheetId="112" r:id="rId1"/>
    <sheet name="1.  Анкудинова 1 " sheetId="95" r:id="rId2"/>
    <sheet name="2.  Анкудинова 3" sheetId="83" r:id="rId3"/>
    <sheet name="3.  Анкудинова 5" sheetId="94" r:id="rId4"/>
    <sheet name="4.  Анкудинова 7" sheetId="92" r:id="rId5"/>
    <sheet name="5.  Анкудинова 9" sheetId="91" r:id="rId6"/>
    <sheet name="6.  Анкудинова 11" sheetId="90" r:id="rId7"/>
    <sheet name="7.  Анкудинова 13" sheetId="88" r:id="rId8"/>
    <sheet name="9.  Анкудинова 17" sheetId="87" r:id="rId9"/>
    <sheet name="12.  Анкудинова  11А " sheetId="89" r:id="rId10"/>
    <sheet name="13.  Анкудинова 17А " sheetId="86" r:id="rId11"/>
    <sheet name="10.  Анкудинова 3Б" sheetId="81" r:id="rId12"/>
    <sheet name="11.  Анкудинова 5А" sheetId="93" r:id="rId13"/>
    <sheet name="14. Тихоокеанская 27" sheetId="18" r:id="rId14"/>
    <sheet name="15. Горького 12" sheetId="8" r:id="rId15"/>
    <sheet name="16. Горького 11б" sheetId="128" r:id="rId16"/>
    <sheet name="16. Горького 14" sheetId="7" r:id="rId17"/>
    <sheet name="17. Горького 16" sheetId="5" r:id="rId18"/>
    <sheet name="18. Горького 18" sheetId="4" r:id="rId19"/>
    <sheet name="18. Горького 18 а" sheetId="115" r:id="rId20"/>
    <sheet name="19. Горького 20" sheetId="109" r:id="rId21"/>
    <sheet name="20. Горького 22" sheetId="108" r:id="rId22"/>
    <sheet name="21. Горького 14А" sheetId="6" r:id="rId23"/>
    <sheet name="Горького 20А" sheetId="120" r:id="rId24"/>
    <sheet name="Дзержинского 12" sheetId="125" r:id="rId25"/>
    <sheet name="Дзержинского 12а" sheetId="133" r:id="rId26"/>
    <sheet name="23. Комсомольская 165" sheetId="107" r:id="rId27"/>
    <sheet name="24. Комсомольская 167" sheetId="106" r:id="rId28"/>
    <sheet name="25. Комсомольская 169" sheetId="104" r:id="rId29"/>
    <sheet name="28.  Комсомольская 191" sheetId="103" r:id="rId30"/>
    <sheet name="29.  Комсомольская 193" sheetId="102" r:id="rId31"/>
    <sheet name="30.  Комсомольская 195" sheetId="75" r:id="rId32"/>
    <sheet name="32. Комсомольская 167А" sheetId="105" r:id="rId33"/>
    <sheet name="35.  пр.Мира 157" sheetId="9" r:id="rId34"/>
    <sheet name="36.  пр .Мира 161" sheetId="77" r:id="rId35"/>
    <sheet name="37.  пр.Мира 163" sheetId="76" r:id="rId36"/>
    <sheet name="38. Мира 161-А" sheetId="21" r:id="rId37"/>
    <sheet name="39.  пр.Мира 163А " sheetId="84" r:id="rId38"/>
    <sheet name="40. Победы 4 " sheetId="2" r:id="rId39"/>
    <sheet name="41. Победы 6" sheetId="17" r:id="rId40"/>
    <sheet name="Победы 6А -2" sheetId="121" r:id="rId41"/>
    <sheet name="42. Победы 6-А-1" sheetId="114" r:id="rId42"/>
    <sheet name="42. Победы 6-Б" sheetId="22" r:id="rId43"/>
    <sheet name="43. Победы 8" sheetId="16" r:id="rId44"/>
    <sheet name="44. Победы 10" sheetId="15" r:id="rId45"/>
    <sheet name="45. Победы 10-Б" sheetId="19" r:id="rId46"/>
    <sheet name="46. Победы 12" sheetId="14" r:id="rId47"/>
    <sheet name="47. Победы 14" sheetId="13" r:id="rId48"/>
    <sheet name="48. Победы 16" sheetId="12" r:id="rId49"/>
    <sheet name="49. Победы 18" sheetId="11" r:id="rId50"/>
    <sheet name="50. Победы 26" sheetId="10" r:id="rId51"/>
    <sheet name="51. Победы 48" sheetId="23" r:id="rId52"/>
    <sheet name="52.  пр.Победы 50" sheetId="79" r:id="rId53"/>
    <sheet name="54.  пр.Победы 12А " sheetId="80" r:id="rId54"/>
    <sheet name="62.  Поповича 14" sheetId="101" r:id="rId55"/>
    <sheet name="Поповича 21" sheetId="131" r:id="rId56"/>
    <sheet name="71.  Поповича 43" sheetId="74" r:id="rId57"/>
    <sheet name="72.  Поповича 45" sheetId="73" r:id="rId58"/>
    <sheet name="73.  Поповича 47" sheetId="71" r:id="rId59"/>
    <sheet name="80.  Поповича 18А" sheetId="100" r:id="rId60"/>
    <sheet name="87.  Поповича 20А" sheetId="99" r:id="rId61"/>
    <sheet name="91.  Поповича 22А" sheetId="98" r:id="rId62"/>
    <sheet name="94.  Поповича 24А" sheetId="97" r:id="rId63"/>
    <sheet name="96.  Поповича 45А" sheetId="72" r:id="rId64"/>
    <sheet name="68.  Поповича 25 " sheetId="96" r:id="rId65"/>
    <sheet name="95.  Поповича 43А" sheetId="82" r:id="rId66"/>
    <sheet name="Невельского 4" sheetId="116" r:id="rId67"/>
    <sheet name="Невелская 14-1" sheetId="129" r:id="rId68"/>
    <sheet name="Невелская 14-2" sheetId="126" r:id="rId69"/>
    <sheet name="Озерная 2а" sheetId="130" r:id="rId70"/>
    <sheet name="Озерная 2б" sheetId="132" r:id="rId71"/>
    <sheet name="Сахалинская 13" sheetId="117" r:id="rId72"/>
    <sheet name="Фабричная 14А" sheetId="119" r:id="rId73"/>
    <sheet name="Емельянова 43" sheetId="134" r:id="rId74"/>
    <sheet name="98.  Физкультурная 120" sheetId="123" r:id="rId75"/>
    <sheet name="98.  Физкультурная 122" sheetId="69" r:id="rId76"/>
    <sheet name="99.  Физкультурная 124" sheetId="68" r:id="rId77"/>
    <sheet name="100.  Физкультурная 126" sheetId="65" r:id="rId78"/>
    <sheet name="101.  Физкультурная 128" sheetId="62" r:id="rId79"/>
    <sheet name="102.  Физкультурная 130" sheetId="61" r:id="rId80"/>
    <sheet name="103.  Физкультурная 124А" sheetId="67" r:id="rId81"/>
    <sheet name="105.  Физкультурная 126А" sheetId="64" r:id="rId82"/>
    <sheet name="106.  Физкультурная 126Б" sheetId="63" r:id="rId83"/>
    <sheet name="Лист3" sheetId="3" r:id="rId84"/>
    <sheet name="Лист 2" sheetId="20" r:id="rId85"/>
  </sheets>
  <externalReferences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xlnm._FilterDatabase" localSheetId="0" hidden="1">'Свод 2020'!$A$3:$AO$86</definedName>
  </definedNames>
  <calcPr calcId="124519"/>
  <fileRecoveryPr autoRecover="0"/>
</workbook>
</file>

<file path=xl/calcChain.xml><?xml version="1.0" encoding="utf-8"?>
<calcChain xmlns="http://schemas.openxmlformats.org/spreadsheetml/2006/main">
  <c r="AA43" i="112"/>
  <c r="AI43"/>
  <c r="AN43"/>
  <c r="AJ43"/>
  <c r="AJ55"/>
  <c r="Y58"/>
  <c r="Y43"/>
  <c r="AH43"/>
  <c r="AO43"/>
  <c r="AP43"/>
  <c r="Y72"/>
  <c r="Y73"/>
  <c r="Y71"/>
  <c r="Y70"/>
  <c r="AH70"/>
  <c r="Y34"/>
  <c r="AH34"/>
  <c r="AO34"/>
  <c r="AP34"/>
  <c r="Y26"/>
  <c r="S55"/>
  <c r="AK58"/>
  <c r="D37" i="131"/>
  <c r="AM58" i="112"/>
  <c r="AM82"/>
  <c r="AM55"/>
  <c r="D40" i="79"/>
  <c r="AL55" i="112"/>
  <c r="D38" i="79"/>
  <c r="AL34" i="112"/>
  <c r="D40" i="75"/>
  <c r="AM40" i="112"/>
  <c r="D40" i="84"/>
  <c r="AM30" i="112"/>
  <c r="D40" i="106"/>
  <c r="AM11" i="112"/>
  <c r="AM10"/>
  <c r="D40" i="88"/>
  <c r="AJ73" i="112"/>
  <c r="AN73"/>
  <c r="AO73"/>
  <c r="AP73"/>
  <c r="AJ30"/>
  <c r="AJ23"/>
  <c r="AJ13"/>
  <c r="D42" i="86"/>
  <c r="AJ6" i="112"/>
  <c r="AJ10"/>
  <c r="AJ52"/>
  <c r="D42" i="11"/>
  <c r="AJ48" i="112"/>
  <c r="AJ60"/>
  <c r="D42" i="73"/>
  <c r="AJ58" i="112"/>
  <c r="D43" i="131"/>
  <c r="AJ82" i="112"/>
  <c r="AJ4"/>
  <c r="AJ86"/>
  <c r="AI30"/>
  <c r="AN30"/>
  <c r="AO30"/>
  <c r="AP30"/>
  <c r="AI60"/>
  <c r="AI6"/>
  <c r="R36"/>
  <c r="R20"/>
  <c r="S6"/>
  <c r="S48"/>
  <c r="AI69"/>
  <c r="AI79"/>
  <c r="AI37"/>
  <c r="AI38"/>
  <c r="AI45"/>
  <c r="D33" i="22"/>
  <c r="AI17" i="112"/>
  <c r="D33" i="8"/>
  <c r="AI33" i="112"/>
  <c r="AI80"/>
  <c r="AI83"/>
  <c r="D33" i="67"/>
  <c r="AI20" i="112"/>
  <c r="AI19"/>
  <c r="AI10"/>
  <c r="D33" i="88"/>
  <c r="AI29" i="112"/>
  <c r="AN29"/>
  <c r="AI77"/>
  <c r="AI14"/>
  <c r="AI56"/>
  <c r="D33" i="80"/>
  <c r="AI57" i="112"/>
  <c r="D33" i="101"/>
  <c r="AI5" i="112"/>
  <c r="AI75"/>
  <c r="AI25"/>
  <c r="D33" i="6"/>
  <c r="V61" i="112"/>
  <c r="AH61"/>
  <c r="V58"/>
  <c r="D22" i="131"/>
  <c r="V55" i="112"/>
  <c r="AH55"/>
  <c r="V54"/>
  <c r="V48"/>
  <c r="D22" i="19"/>
  <c r="V44" i="112"/>
  <c r="D22" i="114"/>
  <c r="V43" i="112"/>
  <c r="V35"/>
  <c r="AI22"/>
  <c r="D33" i="115"/>
  <c r="AI24" i="112"/>
  <c r="AI81"/>
  <c r="D33" i="62"/>
  <c r="AI78" i="112"/>
  <c r="AI71"/>
  <c r="AN71"/>
  <c r="AO71"/>
  <c r="AP71"/>
  <c r="AI70"/>
  <c r="D34" i="129"/>
  <c r="AI61" i="112"/>
  <c r="AN61"/>
  <c r="AI59"/>
  <c r="AI55"/>
  <c r="AI53"/>
  <c r="AI36"/>
  <c r="AN36"/>
  <c r="AO36"/>
  <c r="AP36"/>
  <c r="AC84"/>
  <c r="AC83"/>
  <c r="AC82"/>
  <c r="D24" i="61"/>
  <c r="AC81" i="112"/>
  <c r="D24" i="62"/>
  <c r="AC80" i="112"/>
  <c r="AH80"/>
  <c r="AO80"/>
  <c r="AP80"/>
  <c r="AC79"/>
  <c r="AH79"/>
  <c r="AO79"/>
  <c r="AP79"/>
  <c r="AC78"/>
  <c r="D24" i="69"/>
  <c r="AC77" i="112"/>
  <c r="AC76"/>
  <c r="D24" i="134"/>
  <c r="AC74" i="112"/>
  <c r="D24" i="117"/>
  <c r="AC70" i="112"/>
  <c r="D24" i="129"/>
  <c r="AC69" i="112"/>
  <c r="AC68"/>
  <c r="D24" i="82"/>
  <c r="AC67" i="112"/>
  <c r="AH67"/>
  <c r="AC66"/>
  <c r="AC65"/>
  <c r="D24" i="97"/>
  <c r="AC64" i="112"/>
  <c r="D24" i="98"/>
  <c r="AC63" i="112"/>
  <c r="AC62"/>
  <c r="AH62"/>
  <c r="AO62"/>
  <c r="AP62"/>
  <c r="AC61"/>
  <c r="AC60"/>
  <c r="AC59"/>
  <c r="AH59"/>
  <c r="AO59"/>
  <c r="AP59"/>
  <c r="AC58"/>
  <c r="D24" i="131"/>
  <c r="AC57" i="112"/>
  <c r="AC56"/>
  <c r="D24" i="80"/>
  <c r="AC55" i="112"/>
  <c r="D24" i="79"/>
  <c r="AC54" i="112"/>
  <c r="D24" i="23"/>
  <c r="AC53" i="112"/>
  <c r="AH53"/>
  <c r="AO53"/>
  <c r="AP53"/>
  <c r="AC52"/>
  <c r="D24" i="11"/>
  <c r="AC51" i="112"/>
  <c r="AH51"/>
  <c r="AO51"/>
  <c r="AP51"/>
  <c r="AC50"/>
  <c r="D24" i="13"/>
  <c r="AC49" i="112"/>
  <c r="AH49"/>
  <c r="AO49"/>
  <c r="AP49"/>
  <c r="AC48"/>
  <c r="D24" i="19"/>
  <c r="AC47" i="112"/>
  <c r="D24" i="15"/>
  <c r="AC46" i="112"/>
  <c r="D24" i="16"/>
  <c r="AC45" i="112"/>
  <c r="AH45"/>
  <c r="AO45"/>
  <c r="AP45"/>
  <c r="AC43"/>
  <c r="D24" i="121"/>
  <c r="AC42" i="112"/>
  <c r="AC41"/>
  <c r="D24" i="2"/>
  <c r="AC40" i="112"/>
  <c r="AC39"/>
  <c r="D24" i="21"/>
  <c r="AC38" i="112"/>
  <c r="AH38"/>
  <c r="AO38"/>
  <c r="AP38"/>
  <c r="AC37"/>
  <c r="AC36"/>
  <c r="AC35"/>
  <c r="D24" i="105"/>
  <c r="AC34" i="112"/>
  <c r="D24" i="75"/>
  <c r="AC33" i="112"/>
  <c r="AC32"/>
  <c r="AC31"/>
  <c r="AH31"/>
  <c r="AO31"/>
  <c r="AP31"/>
  <c r="AC30"/>
  <c r="D24" i="106"/>
  <c r="AC29" i="112"/>
  <c r="AH29"/>
  <c r="AC28"/>
  <c r="D24" i="133"/>
  <c r="AC27" i="112"/>
  <c r="AC26"/>
  <c r="D24" i="120"/>
  <c r="AC25" i="112"/>
  <c r="AC24"/>
  <c r="AC23"/>
  <c r="D24" i="109"/>
  <c r="AC22" i="112"/>
  <c r="D24" i="115"/>
  <c r="AC21" i="112"/>
  <c r="AC20"/>
  <c r="D24" i="5"/>
  <c r="AC19" i="112"/>
  <c r="AH19"/>
  <c r="AO19"/>
  <c r="AP19"/>
  <c r="AC18"/>
  <c r="AC17"/>
  <c r="AC16"/>
  <c r="AH16"/>
  <c r="AO16"/>
  <c r="AP16"/>
  <c r="AC15"/>
  <c r="D24" i="93"/>
  <c r="AC14" i="112"/>
  <c r="AC13"/>
  <c r="AC12"/>
  <c r="AH12"/>
  <c r="AO12"/>
  <c r="AP12"/>
  <c r="AC11"/>
  <c r="AC10"/>
  <c r="AC9"/>
  <c r="AH9"/>
  <c r="AO9"/>
  <c r="AP9"/>
  <c r="AC8"/>
  <c r="D24" i="91"/>
  <c r="AC7" i="112"/>
  <c r="AC6"/>
  <c r="AC5"/>
  <c r="AC86"/>
  <c r="AC4"/>
  <c r="AF48"/>
  <c r="S13"/>
  <c r="R71"/>
  <c r="S71"/>
  <c r="T71"/>
  <c r="E14" i="126"/>
  <c r="S67" i="112"/>
  <c r="S64"/>
  <c r="S62"/>
  <c r="S57"/>
  <c r="S52"/>
  <c r="S49"/>
  <c r="S46"/>
  <c r="S41"/>
  <c r="S34"/>
  <c r="S31"/>
  <c r="S29"/>
  <c r="S23"/>
  <c r="S21"/>
  <c r="S17"/>
  <c r="S15"/>
  <c r="S14"/>
  <c r="S12"/>
  <c r="S10"/>
  <c r="S9"/>
  <c r="S8"/>
  <c r="S7"/>
  <c r="S5"/>
  <c r="S4"/>
  <c r="S54"/>
  <c r="S60"/>
  <c r="C13" i="73"/>
  <c r="AQ5" i="112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4"/>
  <c r="M4"/>
  <c r="W18"/>
  <c r="W86"/>
  <c r="V87"/>
  <c r="AG87"/>
  <c r="AE87"/>
  <c r="AD87"/>
  <c r="AC87"/>
  <c r="AB87"/>
  <c r="AA87"/>
  <c r="Z87"/>
  <c r="Y87"/>
  <c r="X87"/>
  <c r="W87"/>
  <c r="U87"/>
  <c r="AM87"/>
  <c r="AL87"/>
  <c r="AK87"/>
  <c r="AJ87"/>
  <c r="AI87"/>
  <c r="AM71"/>
  <c r="D41" i="126"/>
  <c r="AM70" i="112"/>
  <c r="D41" i="129"/>
  <c r="AI47" i="112"/>
  <c r="D33" i="15"/>
  <c r="AI23" i="112"/>
  <c r="AN23"/>
  <c r="AI21"/>
  <c r="D33" i="4"/>
  <c r="AM72" i="112"/>
  <c r="AI72"/>
  <c r="AI67"/>
  <c r="AN67"/>
  <c r="AI66"/>
  <c r="AN66"/>
  <c r="AO66"/>
  <c r="AP66"/>
  <c r="AI62"/>
  <c r="AI54"/>
  <c r="D33" i="23"/>
  <c r="AI48" i="112"/>
  <c r="D34" i="19"/>
  <c r="AI41" i="112"/>
  <c r="AI40"/>
  <c r="AI39"/>
  <c r="D33" i="21"/>
  <c r="AI35" i="112"/>
  <c r="D33" i="105"/>
  <c r="AI32" i="112"/>
  <c r="D33" i="103"/>
  <c r="AI16" i="112"/>
  <c r="D33" i="18"/>
  <c r="AI13" i="112"/>
  <c r="D33" i="86"/>
  <c r="AI11" i="112"/>
  <c r="AM28"/>
  <c r="D40" i="133"/>
  <c r="AM27" i="112"/>
  <c r="D40" i="125"/>
  <c r="AL28" i="112"/>
  <c r="AK28"/>
  <c r="AJ28"/>
  <c r="D42" i="133"/>
  <c r="AI28" i="112"/>
  <c r="AG28"/>
  <c r="AE28"/>
  <c r="D27" i="133"/>
  <c r="AD28" i="112"/>
  <c r="D26" i="133"/>
  <c r="AB28" i="112"/>
  <c r="AA28"/>
  <c r="D23" i="133"/>
  <c r="Z28" i="112"/>
  <c r="W28"/>
  <c r="D19" i="133"/>
  <c r="V28" i="112"/>
  <c r="D22" i="133"/>
  <c r="U28" i="112"/>
  <c r="D21" i="133"/>
  <c r="AL27" i="112"/>
  <c r="AK27"/>
  <c r="AN27"/>
  <c r="AJ27"/>
  <c r="AI27"/>
  <c r="AG27"/>
  <c r="D31" i="125"/>
  <c r="AE27" i="112"/>
  <c r="D27" i="125"/>
  <c r="AD27" i="112"/>
  <c r="D26" i="125"/>
  <c r="AB27" i="112"/>
  <c r="D25" i="125"/>
  <c r="AA27" i="112"/>
  <c r="D23" i="125"/>
  <c r="Z27" i="112"/>
  <c r="W27"/>
  <c r="D19" i="125"/>
  <c r="V27" i="112"/>
  <c r="D22" i="125"/>
  <c r="U27" i="112"/>
  <c r="AM18"/>
  <c r="D40" i="128"/>
  <c r="AL18" i="112"/>
  <c r="AK18"/>
  <c r="AI18"/>
  <c r="AJ18"/>
  <c r="D42" i="128"/>
  <c r="AG18" i="112"/>
  <c r="AG86"/>
  <c r="AE18"/>
  <c r="AD18"/>
  <c r="AB18"/>
  <c r="AB86"/>
  <c r="AA18"/>
  <c r="Z18"/>
  <c r="V18"/>
  <c r="D22" i="128"/>
  <c r="U18" i="112"/>
  <c r="D21" i="128"/>
  <c r="AM4" i="112"/>
  <c r="AL4"/>
  <c r="D38" i="95"/>
  <c r="AK4" i="112"/>
  <c r="AK86"/>
  <c r="AI4"/>
  <c r="AG4"/>
  <c r="AE4"/>
  <c r="AD4"/>
  <c r="D26" i="95"/>
  <c r="AB4" i="112"/>
  <c r="D25" i="95"/>
  <c r="AA4" i="112"/>
  <c r="D23" i="95"/>
  <c r="Z4" i="112"/>
  <c r="Z86"/>
  <c r="W4"/>
  <c r="V4"/>
  <c r="D22" i="95"/>
  <c r="U4" i="112"/>
  <c r="D21" i="95"/>
  <c r="M86" i="112"/>
  <c r="O87"/>
  <c r="N87"/>
  <c r="M87"/>
  <c r="L87"/>
  <c r="K87"/>
  <c r="L68"/>
  <c r="L18"/>
  <c r="N18"/>
  <c r="L60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N68"/>
  <c r="M68"/>
  <c r="M67"/>
  <c r="L67"/>
  <c r="M66"/>
  <c r="L66"/>
  <c r="M65"/>
  <c r="L65"/>
  <c r="M64"/>
  <c r="L64"/>
  <c r="M63"/>
  <c r="L63"/>
  <c r="M62"/>
  <c r="L62"/>
  <c r="M61"/>
  <c r="L61"/>
  <c r="N60"/>
  <c r="M60"/>
  <c r="O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O43"/>
  <c r="O58"/>
  <c r="C10" i="131"/>
  <c r="M42" i="11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O25"/>
  <c r="E10" i="6"/>
  <c r="M24" i="112"/>
  <c r="L24"/>
  <c r="M23"/>
  <c r="L23"/>
  <c r="M22"/>
  <c r="L22"/>
  <c r="M21"/>
  <c r="L21"/>
  <c r="M20"/>
  <c r="L20"/>
  <c r="M19"/>
  <c r="L19"/>
  <c r="M18"/>
  <c r="O18"/>
  <c r="E10" i="128"/>
  <c r="M17" i="112"/>
  <c r="L17"/>
  <c r="M16"/>
  <c r="L16"/>
  <c r="M15"/>
  <c r="L15"/>
  <c r="M14"/>
  <c r="L14"/>
  <c r="M13"/>
  <c r="L13"/>
  <c r="M12"/>
  <c r="L12"/>
  <c r="M11"/>
  <c r="L11"/>
  <c r="M10"/>
  <c r="L10"/>
  <c r="M9"/>
  <c r="O9"/>
  <c r="E10" i="90"/>
  <c r="L9" i="112"/>
  <c r="M8"/>
  <c r="M7"/>
  <c r="L7"/>
  <c r="O7"/>
  <c r="M6"/>
  <c r="O6"/>
  <c r="E10" i="94"/>
  <c r="L6" i="112"/>
  <c r="N5"/>
  <c r="M5"/>
  <c r="L5"/>
  <c r="L4"/>
  <c r="P86"/>
  <c r="C13" i="134"/>
  <c r="C12"/>
  <c r="C11"/>
  <c r="C6"/>
  <c r="N4" i="112"/>
  <c r="R4"/>
  <c r="R5"/>
  <c r="T5"/>
  <c r="U5"/>
  <c r="V5"/>
  <c r="W5"/>
  <c r="Z5"/>
  <c r="AA5"/>
  <c r="AB5"/>
  <c r="AD5"/>
  <c r="AE5"/>
  <c r="AG5"/>
  <c r="AJ5"/>
  <c r="AK5"/>
  <c r="AL5"/>
  <c r="AM5"/>
  <c r="R6"/>
  <c r="T6"/>
  <c r="E14" i="94"/>
  <c r="U6" i="112"/>
  <c r="V6"/>
  <c r="W6"/>
  <c r="D19" i="94"/>
  <c r="Z6" i="112"/>
  <c r="AA6"/>
  <c r="AB6"/>
  <c r="AD6"/>
  <c r="AE6"/>
  <c r="AG6"/>
  <c r="AK6"/>
  <c r="AL6"/>
  <c r="AM6"/>
  <c r="R7"/>
  <c r="U7"/>
  <c r="V7"/>
  <c r="W7"/>
  <c r="Z7"/>
  <c r="AA7"/>
  <c r="AB7"/>
  <c r="D25" i="92"/>
  <c r="AD7" i="112"/>
  <c r="AE7"/>
  <c r="AG7"/>
  <c r="AI7"/>
  <c r="D33" i="92"/>
  <c r="AJ7" i="112"/>
  <c r="AK7"/>
  <c r="AL7"/>
  <c r="AM7"/>
  <c r="D40" i="92"/>
  <c r="L8" i="112"/>
  <c r="R8"/>
  <c r="T8"/>
  <c r="U8"/>
  <c r="D21" i="91"/>
  <c r="V8" i="112"/>
  <c r="W8"/>
  <c r="Z8"/>
  <c r="AA8"/>
  <c r="AB8"/>
  <c r="AD8"/>
  <c r="AE8"/>
  <c r="AG8"/>
  <c r="D31" i="91"/>
  <c r="AI8" i="112"/>
  <c r="AJ8"/>
  <c r="AK8"/>
  <c r="AL8"/>
  <c r="AM8"/>
  <c r="R9"/>
  <c r="T9"/>
  <c r="U9"/>
  <c r="D21" i="90"/>
  <c r="V9" i="112"/>
  <c r="W9"/>
  <c r="Z9"/>
  <c r="AA9"/>
  <c r="AB9"/>
  <c r="AD9"/>
  <c r="AE9"/>
  <c r="AG9"/>
  <c r="D31" i="90"/>
  <c r="AI9" i="112"/>
  <c r="AJ9"/>
  <c r="AK9"/>
  <c r="AL9"/>
  <c r="AM9"/>
  <c r="R10"/>
  <c r="T10"/>
  <c r="U10"/>
  <c r="D21" i="88"/>
  <c r="V10" i="112"/>
  <c r="W10"/>
  <c r="Z10"/>
  <c r="AA10"/>
  <c r="AB10"/>
  <c r="AD10"/>
  <c r="AE10"/>
  <c r="AG10"/>
  <c r="AK10"/>
  <c r="AL10"/>
  <c r="R11"/>
  <c r="S11"/>
  <c r="U11"/>
  <c r="V11"/>
  <c r="W11"/>
  <c r="Z11"/>
  <c r="AA11"/>
  <c r="AB11"/>
  <c r="AD11"/>
  <c r="D26" i="87"/>
  <c r="AE11" i="112"/>
  <c r="D27" i="87"/>
  <c r="AG11" i="112"/>
  <c r="AJ11"/>
  <c r="AK11"/>
  <c r="AL11"/>
  <c r="D38" i="87"/>
  <c r="R12" i="112"/>
  <c r="T12"/>
  <c r="U12"/>
  <c r="V12"/>
  <c r="D22" i="89"/>
  <c r="W12" i="112"/>
  <c r="Z12"/>
  <c r="AA12"/>
  <c r="AB12"/>
  <c r="AD12"/>
  <c r="AE12"/>
  <c r="AG12"/>
  <c r="AI12"/>
  <c r="D33" i="89"/>
  <c r="AJ12" i="112"/>
  <c r="AK12"/>
  <c r="AL12"/>
  <c r="AM12"/>
  <c r="R13"/>
  <c r="T13"/>
  <c r="U13"/>
  <c r="V13"/>
  <c r="D22" i="86"/>
  <c r="W13" i="112"/>
  <c r="Z13"/>
  <c r="AA13"/>
  <c r="AB13"/>
  <c r="D25" i="86"/>
  <c r="AD13" i="112"/>
  <c r="AE13"/>
  <c r="AG13"/>
  <c r="AK13"/>
  <c r="AL13"/>
  <c r="AM13"/>
  <c r="R14"/>
  <c r="U14"/>
  <c r="D21" i="81"/>
  <c r="V14" i="112"/>
  <c r="W14"/>
  <c r="Z14"/>
  <c r="AA14"/>
  <c r="AB14"/>
  <c r="AD14"/>
  <c r="AE14"/>
  <c r="AG14"/>
  <c r="AJ14"/>
  <c r="AK14"/>
  <c r="AL14"/>
  <c r="AM14"/>
  <c r="R15"/>
  <c r="T15"/>
  <c r="U15"/>
  <c r="V15"/>
  <c r="W15"/>
  <c r="Z15"/>
  <c r="AA15"/>
  <c r="AB15"/>
  <c r="AD15"/>
  <c r="AE15"/>
  <c r="AG15"/>
  <c r="AI15"/>
  <c r="D33" i="93"/>
  <c r="AJ15" i="112"/>
  <c r="AK15"/>
  <c r="AL15"/>
  <c r="AM15"/>
  <c r="D40" i="93"/>
  <c r="C8" i="18"/>
  <c r="T16" i="112"/>
  <c r="U16"/>
  <c r="V16"/>
  <c r="W16"/>
  <c r="Z16"/>
  <c r="AA16"/>
  <c r="AB16"/>
  <c r="D25" i="18"/>
  <c r="AD16" i="112"/>
  <c r="AE16"/>
  <c r="AG16"/>
  <c r="AJ16"/>
  <c r="D42" i="18"/>
  <c r="AK16" i="112"/>
  <c r="AL16"/>
  <c r="AM16"/>
  <c r="R17"/>
  <c r="U17"/>
  <c r="V17"/>
  <c r="W17"/>
  <c r="Z17"/>
  <c r="AA17"/>
  <c r="AB17"/>
  <c r="AD17"/>
  <c r="AE17"/>
  <c r="D27" i="8"/>
  <c r="AG17" i="112"/>
  <c r="AJ17"/>
  <c r="AK17"/>
  <c r="AL17"/>
  <c r="D38" i="8"/>
  <c r="AM17" i="112"/>
  <c r="D40" i="8"/>
  <c r="T18" i="112"/>
  <c r="T19"/>
  <c r="U19"/>
  <c r="V19"/>
  <c r="W19"/>
  <c r="Z19"/>
  <c r="AA19"/>
  <c r="AB19"/>
  <c r="AD19"/>
  <c r="D26" i="7"/>
  <c r="AE19" i="112"/>
  <c r="D27" i="7"/>
  <c r="AG19" i="112"/>
  <c r="AJ19"/>
  <c r="AK19"/>
  <c r="AL19"/>
  <c r="D38" i="7"/>
  <c r="AM19" i="112"/>
  <c r="T20"/>
  <c r="S20"/>
  <c r="U20"/>
  <c r="D21" i="5"/>
  <c r="V20" i="112"/>
  <c r="W20"/>
  <c r="Z20"/>
  <c r="AA20"/>
  <c r="AB20"/>
  <c r="AD20"/>
  <c r="D26" i="5"/>
  <c r="AE20" i="112"/>
  <c r="D27" i="5"/>
  <c r="AG20" i="112"/>
  <c r="AJ20"/>
  <c r="AK20"/>
  <c r="AL20"/>
  <c r="D38" i="5"/>
  <c r="AM20" i="112"/>
  <c r="R21"/>
  <c r="U21"/>
  <c r="D21" i="4"/>
  <c r="V21" i="112"/>
  <c r="D22" i="4"/>
  <c r="W21" i="112"/>
  <c r="Z21"/>
  <c r="AA21"/>
  <c r="AB21"/>
  <c r="D25" i="4"/>
  <c r="AD21" i="112"/>
  <c r="AE21"/>
  <c r="AG21"/>
  <c r="AJ21"/>
  <c r="AK21"/>
  <c r="AL21"/>
  <c r="AM21"/>
  <c r="T22"/>
  <c r="U22"/>
  <c r="V22"/>
  <c r="W22"/>
  <c r="Z22"/>
  <c r="AA22"/>
  <c r="AB22"/>
  <c r="AD22"/>
  <c r="AE22"/>
  <c r="D27" i="115"/>
  <c r="AG22" i="112"/>
  <c r="D31" i="115"/>
  <c r="AJ22" i="112"/>
  <c r="AK22"/>
  <c r="AL22"/>
  <c r="D38" i="115"/>
  <c r="AM22" i="112"/>
  <c r="R23"/>
  <c r="T23"/>
  <c r="U23"/>
  <c r="D21" i="109"/>
  <c r="V23" i="112"/>
  <c r="W23"/>
  <c r="Z23"/>
  <c r="AA23"/>
  <c r="AB23"/>
  <c r="AD23"/>
  <c r="AE23"/>
  <c r="D27" i="109"/>
  <c r="AG23" i="112"/>
  <c r="D31" i="109"/>
  <c r="AK23" i="112"/>
  <c r="AL23"/>
  <c r="D38" i="109"/>
  <c r="AM23" i="112"/>
  <c r="T24"/>
  <c r="U24"/>
  <c r="V24"/>
  <c r="D22" i="108"/>
  <c r="W24" i="112"/>
  <c r="Z24"/>
  <c r="AA24"/>
  <c r="AB24"/>
  <c r="AD24"/>
  <c r="AE24"/>
  <c r="D27" i="108"/>
  <c r="AG24" i="112"/>
  <c r="AJ24"/>
  <c r="AK24"/>
  <c r="AL24"/>
  <c r="D38" i="108"/>
  <c r="AM24" i="112"/>
  <c r="R25"/>
  <c r="S25"/>
  <c r="T25"/>
  <c r="U25"/>
  <c r="V25"/>
  <c r="W25"/>
  <c r="D19" i="6"/>
  <c r="Z25" i="112"/>
  <c r="AA25"/>
  <c r="AB25"/>
  <c r="AD25"/>
  <c r="AE25"/>
  <c r="AG25"/>
  <c r="AJ25"/>
  <c r="D42" i="6"/>
  <c r="AK25" i="112"/>
  <c r="AL25"/>
  <c r="AM25"/>
  <c r="T26"/>
  <c r="U26"/>
  <c r="V26"/>
  <c r="W26"/>
  <c r="Z26"/>
  <c r="AA26"/>
  <c r="AB26"/>
  <c r="D25" i="120"/>
  <c r="AD26" i="112"/>
  <c r="D26" i="120"/>
  <c r="AE26" i="112"/>
  <c r="AG26"/>
  <c r="D31" i="120"/>
  <c r="AI26" i="112"/>
  <c r="AJ26"/>
  <c r="D43" i="120"/>
  <c r="AK26" i="112"/>
  <c r="AL26"/>
  <c r="AM26"/>
  <c r="D41" i="120"/>
  <c r="T27" i="112"/>
  <c r="C8" i="133"/>
  <c r="T28" i="112"/>
  <c r="R29"/>
  <c r="U29"/>
  <c r="V29"/>
  <c r="D22" i="107"/>
  <c r="W29" i="112"/>
  <c r="D19" i="107"/>
  <c r="Z29" i="112"/>
  <c r="AA29"/>
  <c r="AB29"/>
  <c r="AD29"/>
  <c r="D26" i="107"/>
  <c r="AE29" i="112"/>
  <c r="AG29"/>
  <c r="AJ29"/>
  <c r="AK29"/>
  <c r="D36" i="107"/>
  <c r="AL29" i="112"/>
  <c r="AM29"/>
  <c r="D40" i="107"/>
  <c r="T30" i="112"/>
  <c r="R30"/>
  <c r="S30"/>
  <c r="U30"/>
  <c r="V30"/>
  <c r="D22" i="106"/>
  <c r="W30" i="112"/>
  <c r="Z30"/>
  <c r="AA30"/>
  <c r="AB30"/>
  <c r="D25" i="106"/>
  <c r="AD30" i="112"/>
  <c r="AE30"/>
  <c r="AG30"/>
  <c r="D31" i="106"/>
  <c r="AK30" i="112"/>
  <c r="D36" i="106"/>
  <c r="AL30" i="112"/>
  <c r="D38" i="106"/>
  <c r="C8" i="104"/>
  <c r="R31" i="112"/>
  <c r="U31"/>
  <c r="D21" i="104"/>
  <c r="V31" i="112"/>
  <c r="W31"/>
  <c r="D19" i="104"/>
  <c r="X31" i="112"/>
  <c r="Z31"/>
  <c r="AA31"/>
  <c r="AB31"/>
  <c r="D25" i="104"/>
  <c r="AD31" i="112"/>
  <c r="AE31"/>
  <c r="AG31"/>
  <c r="D32" i="104"/>
  <c r="AI31" i="112"/>
  <c r="AJ31"/>
  <c r="AK31"/>
  <c r="D37" i="104"/>
  <c r="AL31" i="112"/>
  <c r="D39" i="104"/>
  <c r="AM31" i="112"/>
  <c r="R32"/>
  <c r="T32"/>
  <c r="S32"/>
  <c r="U32"/>
  <c r="V32"/>
  <c r="W32"/>
  <c r="Z32"/>
  <c r="AA32"/>
  <c r="AB32"/>
  <c r="D25" i="103"/>
  <c r="AD32" i="112"/>
  <c r="AE32"/>
  <c r="D27" i="103"/>
  <c r="AG32" i="112"/>
  <c r="AJ32"/>
  <c r="D42" i="103"/>
  <c r="AK32" i="112"/>
  <c r="D36" i="103"/>
  <c r="AL32" i="112"/>
  <c r="D38" i="103"/>
  <c r="AM32" i="112"/>
  <c r="R33"/>
  <c r="T33"/>
  <c r="S33"/>
  <c r="U33"/>
  <c r="D21" i="102"/>
  <c r="V33" i="112"/>
  <c r="D22" i="102"/>
  <c r="W33" i="112"/>
  <c r="Z33"/>
  <c r="AA33"/>
  <c r="AB33"/>
  <c r="D25" i="102"/>
  <c r="AD33" i="112"/>
  <c r="D26" i="102"/>
  <c r="AE33" i="112"/>
  <c r="AG33"/>
  <c r="AJ33"/>
  <c r="D42" i="102"/>
  <c r="AK33" i="112"/>
  <c r="D36" i="102"/>
  <c r="AL33" i="112"/>
  <c r="AM33"/>
  <c r="C8" i="75"/>
  <c r="R34" i="112"/>
  <c r="T34"/>
  <c r="E14" i="75"/>
  <c r="U34" i="112"/>
  <c r="V34"/>
  <c r="D22" i="75"/>
  <c r="W34" i="112"/>
  <c r="X34"/>
  <c r="D32" i="75"/>
  <c r="D31"/>
  <c r="Z34" i="112"/>
  <c r="AA34"/>
  <c r="AB34"/>
  <c r="AD34"/>
  <c r="D26" i="75"/>
  <c r="AE34" i="112"/>
  <c r="D27" i="75"/>
  <c r="AG34" i="112"/>
  <c r="AJ34"/>
  <c r="AK34"/>
  <c r="D38" i="75"/>
  <c r="AM34" i="112"/>
  <c r="D42" i="75"/>
  <c r="R35" i="112"/>
  <c r="S35"/>
  <c r="U35"/>
  <c r="W35"/>
  <c r="Z35"/>
  <c r="AA35"/>
  <c r="AB35"/>
  <c r="D25" i="105"/>
  <c r="AD35" i="112"/>
  <c r="AE35"/>
  <c r="D27" i="105"/>
  <c r="AG35" i="112"/>
  <c r="D31" i="105"/>
  <c r="AJ35" i="112"/>
  <c r="AK35"/>
  <c r="AL35"/>
  <c r="D38" i="105"/>
  <c r="AM35" i="112"/>
  <c r="S36"/>
  <c r="U36"/>
  <c r="D21" i="9"/>
  <c r="V36" i="112"/>
  <c r="W36"/>
  <c r="Z36"/>
  <c r="AA36"/>
  <c r="AB36"/>
  <c r="AD36"/>
  <c r="D26" i="9"/>
  <c r="AE36" i="112"/>
  <c r="AG36"/>
  <c r="D31" i="9"/>
  <c r="AJ36" i="112"/>
  <c r="AK36"/>
  <c r="D36" i="9"/>
  <c r="AL36" i="112"/>
  <c r="AM36"/>
  <c r="D40" i="9"/>
  <c r="R37" i="112"/>
  <c r="S37"/>
  <c r="U37"/>
  <c r="V37"/>
  <c r="W37"/>
  <c r="Z37"/>
  <c r="AA37"/>
  <c r="AB37"/>
  <c r="AD37"/>
  <c r="D26" i="77"/>
  <c r="AE37" i="112"/>
  <c r="D27" i="77"/>
  <c r="AG37" i="112"/>
  <c r="D31" i="77"/>
  <c r="AJ37" i="112"/>
  <c r="AK37"/>
  <c r="AL37"/>
  <c r="AM37"/>
  <c r="O38"/>
  <c r="E10" i="76"/>
  <c r="R38" i="112"/>
  <c r="S38"/>
  <c r="U38"/>
  <c r="D21" i="76"/>
  <c r="V38" i="112"/>
  <c r="W38"/>
  <c r="Z38"/>
  <c r="AA38"/>
  <c r="AB38"/>
  <c r="D25" i="76"/>
  <c r="AD38" i="112"/>
  <c r="D26" i="76"/>
  <c r="AE38" i="112"/>
  <c r="D27" i="76"/>
  <c r="AG38" i="112"/>
  <c r="D31" i="76"/>
  <c r="AJ38" i="112"/>
  <c r="D42" i="76"/>
  <c r="AK38" i="112"/>
  <c r="D36" i="76"/>
  <c r="AL38" i="112"/>
  <c r="D38" i="76"/>
  <c r="AM38" i="112"/>
  <c r="D40" i="76"/>
  <c r="O39" i="112"/>
  <c r="E10" i="21"/>
  <c r="U39" i="112"/>
  <c r="V39"/>
  <c r="W39"/>
  <c r="Z39"/>
  <c r="AA39"/>
  <c r="AB39"/>
  <c r="D25" i="21"/>
  <c r="AD39" i="112"/>
  <c r="D26" i="21"/>
  <c r="AE39" i="112"/>
  <c r="AG39"/>
  <c r="D31" i="21"/>
  <c r="AJ39" i="112"/>
  <c r="AK39"/>
  <c r="AL39"/>
  <c r="D38" i="21"/>
  <c r="AM39" i="112"/>
  <c r="D40" i="21"/>
  <c r="R40" i="112"/>
  <c r="S40"/>
  <c r="U40"/>
  <c r="V40"/>
  <c r="D22" i="84"/>
  <c r="W40" i="112"/>
  <c r="Z40"/>
  <c r="AA40"/>
  <c r="AB40"/>
  <c r="D25" i="84"/>
  <c r="D24"/>
  <c r="AD40" i="112"/>
  <c r="D26" i="84"/>
  <c r="AE40" i="112"/>
  <c r="AG40"/>
  <c r="D31" i="84"/>
  <c r="AJ40" i="112"/>
  <c r="AK40"/>
  <c r="D36" i="84"/>
  <c r="AL40" i="112"/>
  <c r="D38" i="84"/>
  <c r="O41" i="112"/>
  <c r="E10" i="2"/>
  <c r="R41" i="112"/>
  <c r="T41"/>
  <c r="U41"/>
  <c r="V41"/>
  <c r="W41"/>
  <c r="Z41"/>
  <c r="AA41"/>
  <c r="AB41"/>
  <c r="D25" i="2"/>
  <c r="AD41" i="112"/>
  <c r="D26" i="2"/>
  <c r="AE41" i="112"/>
  <c r="AG41"/>
  <c r="AJ41"/>
  <c r="AK41"/>
  <c r="D36" i="2"/>
  <c r="AL41" i="112"/>
  <c r="AM41"/>
  <c r="R42"/>
  <c r="S42"/>
  <c r="U42"/>
  <c r="D21" i="17"/>
  <c r="V42" i="112"/>
  <c r="W42"/>
  <c r="Z42"/>
  <c r="AA42"/>
  <c r="AB42"/>
  <c r="D25" i="17"/>
  <c r="AD42" i="112"/>
  <c r="D26" i="17"/>
  <c r="AE42" i="112"/>
  <c r="AG42"/>
  <c r="AI42"/>
  <c r="D33" i="17"/>
  <c r="AJ42" i="112"/>
  <c r="AK42"/>
  <c r="AL42"/>
  <c r="D38" i="17"/>
  <c r="AM42" i="112"/>
  <c r="D40" i="17"/>
  <c r="T43" i="112"/>
  <c r="U43"/>
  <c r="W43"/>
  <c r="Z43"/>
  <c r="AB43"/>
  <c r="D25" i="121"/>
  <c r="AD43" i="112"/>
  <c r="D26" i="121"/>
  <c r="AE43" i="112"/>
  <c r="AG43"/>
  <c r="D44" i="121"/>
  <c r="AK43" i="112"/>
  <c r="AL43"/>
  <c r="AM43"/>
  <c r="O44"/>
  <c r="R44"/>
  <c r="S44"/>
  <c r="U44"/>
  <c r="W44"/>
  <c r="D19" i="114"/>
  <c r="Z44" i="112"/>
  <c r="AA44"/>
  <c r="AB44"/>
  <c r="D25" i="114"/>
  <c r="AC44" i="112"/>
  <c r="AD44"/>
  <c r="AE44"/>
  <c r="D27" i="114"/>
  <c r="AG44" i="112"/>
  <c r="AI44"/>
  <c r="D33" i="114"/>
  <c r="AJ44" i="112"/>
  <c r="D42" i="114"/>
  <c r="AK44" i="112"/>
  <c r="D36" i="114"/>
  <c r="AL44" i="112"/>
  <c r="AM44"/>
  <c r="D40" i="114"/>
  <c r="T45" i="112"/>
  <c r="U45"/>
  <c r="D21" i="22"/>
  <c r="V45" i="112"/>
  <c r="W45"/>
  <c r="D19" i="22"/>
  <c r="Z45" i="112"/>
  <c r="AA45"/>
  <c r="AB45"/>
  <c r="AD45"/>
  <c r="D26" i="22"/>
  <c r="AE45" i="112"/>
  <c r="D27" i="22"/>
  <c r="AG45" i="112"/>
  <c r="AJ45"/>
  <c r="AK45"/>
  <c r="AL45"/>
  <c r="D38" i="22"/>
  <c r="AM45" i="112"/>
  <c r="C7" i="16"/>
  <c r="R46" i="112"/>
  <c r="U46"/>
  <c r="V46"/>
  <c r="D22" i="16"/>
  <c r="W46" i="112"/>
  <c r="Z46"/>
  <c r="AA46"/>
  <c r="AB46"/>
  <c r="AD46"/>
  <c r="D26" i="16"/>
  <c r="AE46" i="112"/>
  <c r="D27" i="16"/>
  <c r="AG46" i="112"/>
  <c r="AI46"/>
  <c r="D33" i="16"/>
  <c r="AJ46" i="112"/>
  <c r="AK46"/>
  <c r="AL46"/>
  <c r="D38" i="16"/>
  <c r="AM46" i="112"/>
  <c r="C7" i="15"/>
  <c r="T47" i="112"/>
  <c r="U47"/>
  <c r="D21" i="15"/>
  <c r="V47" i="112"/>
  <c r="W47"/>
  <c r="Z47"/>
  <c r="AA47"/>
  <c r="D23" i="15"/>
  <c r="AB47" i="112"/>
  <c r="AD47"/>
  <c r="D26" i="15"/>
  <c r="AE47" i="112"/>
  <c r="D27" i="15"/>
  <c r="AG47" i="112"/>
  <c r="D31" i="15"/>
  <c r="AJ47" i="112"/>
  <c r="AK47"/>
  <c r="D36" i="15"/>
  <c r="AL47" i="112"/>
  <c r="D38" i="15"/>
  <c r="AM47" i="112"/>
  <c r="O48"/>
  <c r="E10" i="19"/>
  <c r="R48" i="112"/>
  <c r="T48"/>
  <c r="U48"/>
  <c r="D21" i="19"/>
  <c r="W48" i="112"/>
  <c r="D19" i="19"/>
  <c r="Z48" i="112"/>
  <c r="AA48"/>
  <c r="AB48"/>
  <c r="AD48"/>
  <c r="D26" i="19"/>
  <c r="AE48" i="112"/>
  <c r="D27" i="19"/>
  <c r="AG48" i="112"/>
  <c r="AK48"/>
  <c r="AL48"/>
  <c r="AM48"/>
  <c r="R49"/>
  <c r="U49"/>
  <c r="D21" i="14"/>
  <c r="V49" i="112"/>
  <c r="W49"/>
  <c r="Z49"/>
  <c r="AA49"/>
  <c r="AB49"/>
  <c r="AD49"/>
  <c r="D26" i="14"/>
  <c r="AE49" i="112"/>
  <c r="D27" i="14"/>
  <c r="AG49" i="112"/>
  <c r="AI49"/>
  <c r="AJ49"/>
  <c r="AK49"/>
  <c r="D36" i="14"/>
  <c r="AL49" i="112"/>
  <c r="D38" i="14"/>
  <c r="AM49" i="112"/>
  <c r="T50"/>
  <c r="U50"/>
  <c r="D21" i="13"/>
  <c r="V50" i="112"/>
  <c r="W50"/>
  <c r="D19" i="13"/>
  <c r="D43" s="1"/>
  <c r="E42" s="1"/>
  <c r="Z50" i="112"/>
  <c r="AA50"/>
  <c r="AB50"/>
  <c r="AD50"/>
  <c r="AE50"/>
  <c r="D27" i="13"/>
  <c r="AG50" i="112"/>
  <c r="AI50"/>
  <c r="AJ50"/>
  <c r="AK50"/>
  <c r="AL50"/>
  <c r="D38" i="13"/>
  <c r="AM50" i="112"/>
  <c r="D40" i="13"/>
  <c r="O51" i="112"/>
  <c r="E10" i="12"/>
  <c r="T51" i="112"/>
  <c r="U51"/>
  <c r="D21" i="12"/>
  <c r="V51" i="112"/>
  <c r="D22" i="12"/>
  <c r="W51" i="112"/>
  <c r="Z51"/>
  <c r="AA51"/>
  <c r="AB51"/>
  <c r="D24" i="12"/>
  <c r="AD51" i="112"/>
  <c r="D26" i="12"/>
  <c r="AE51" i="112"/>
  <c r="D27" i="12"/>
  <c r="AG51" i="112"/>
  <c r="D31" i="12"/>
  <c r="AI51" i="112"/>
  <c r="D33" i="12"/>
  <c r="AJ51" i="112"/>
  <c r="AK51"/>
  <c r="AL51"/>
  <c r="AM51"/>
  <c r="D40" i="12"/>
  <c r="C7" i="11"/>
  <c r="R52" i="112"/>
  <c r="U52"/>
  <c r="D21" i="11"/>
  <c r="V52" i="112"/>
  <c r="D22" i="11"/>
  <c r="W52" i="112"/>
  <c r="Z52"/>
  <c r="AA52"/>
  <c r="AB52"/>
  <c r="AD52"/>
  <c r="D26" i="11"/>
  <c r="AE52" i="112"/>
  <c r="AG52"/>
  <c r="D31" i="11"/>
  <c r="AI52" i="112"/>
  <c r="D33" i="11"/>
  <c r="AK52" i="112"/>
  <c r="D36" i="11"/>
  <c r="AL52" i="112"/>
  <c r="D38" i="11"/>
  <c r="AM52" i="112"/>
  <c r="C8" i="10"/>
  <c r="R53" i="112"/>
  <c r="T53"/>
  <c r="S53"/>
  <c r="U53"/>
  <c r="V53"/>
  <c r="W53"/>
  <c r="D19" i="10"/>
  <c r="Z53" i="112"/>
  <c r="AA53"/>
  <c r="AB53"/>
  <c r="AD53"/>
  <c r="D26" i="10"/>
  <c r="AE53" i="112"/>
  <c r="AG53"/>
  <c r="D31" i="10"/>
  <c r="AJ53" i="112"/>
  <c r="AK53"/>
  <c r="D36" i="10"/>
  <c r="AL53" i="112"/>
  <c r="AM53"/>
  <c r="R54"/>
  <c r="T54"/>
  <c r="U54"/>
  <c r="W54"/>
  <c r="Z54"/>
  <c r="AA54"/>
  <c r="AB54"/>
  <c r="AD54"/>
  <c r="D26" i="23"/>
  <c r="AE54" i="112"/>
  <c r="D27" i="23"/>
  <c r="AG54" i="112"/>
  <c r="AJ54"/>
  <c r="D42" i="23"/>
  <c r="AK54" i="112"/>
  <c r="AL54"/>
  <c r="AM54"/>
  <c r="D40" i="23"/>
  <c r="O55" i="112"/>
  <c r="E10" i="79"/>
  <c r="R55" i="112"/>
  <c r="T55"/>
  <c r="U55"/>
  <c r="D21" i="79"/>
  <c r="W55" i="112"/>
  <c r="Z55"/>
  <c r="AA55"/>
  <c r="AB55"/>
  <c r="AD55"/>
  <c r="D26" i="79"/>
  <c r="AE55" i="112"/>
  <c r="AG55"/>
  <c r="D31" i="79"/>
  <c r="AK55" i="112"/>
  <c r="C7" i="80"/>
  <c r="T56" i="112"/>
  <c r="U56"/>
  <c r="D21" i="80"/>
  <c r="V56" i="112"/>
  <c r="D22" i="80"/>
  <c r="W56" i="112"/>
  <c r="D19" i="80"/>
  <c r="Z56" i="112"/>
  <c r="AA56"/>
  <c r="AB56"/>
  <c r="D25" i="80"/>
  <c r="AD56" i="112"/>
  <c r="D26" i="80"/>
  <c r="AE56" i="112"/>
  <c r="D27" i="80"/>
  <c r="AG56" i="112"/>
  <c r="D31" i="80"/>
  <c r="AJ56" i="112"/>
  <c r="AK56"/>
  <c r="D36" i="80"/>
  <c r="AL56" i="112"/>
  <c r="D38" i="80"/>
  <c r="AM56" i="112"/>
  <c r="D40" i="80"/>
  <c r="C8" i="101"/>
  <c r="R57" i="112"/>
  <c r="U57"/>
  <c r="D21" i="101"/>
  <c r="V57" i="112"/>
  <c r="D22" i="101"/>
  <c r="W57" i="112"/>
  <c r="D19" i="101"/>
  <c r="Z57" i="112"/>
  <c r="AA57"/>
  <c r="AB57"/>
  <c r="D25" i="101"/>
  <c r="AD57" i="112"/>
  <c r="D26" i="101"/>
  <c r="AE57" i="112"/>
  <c r="D27" i="101"/>
  <c r="AG57" i="112"/>
  <c r="D31" i="101"/>
  <c r="AJ57" i="112"/>
  <c r="D42" i="101"/>
  <c r="AK57" i="112"/>
  <c r="D36" i="101"/>
  <c r="AL57" i="112"/>
  <c r="D38" i="101"/>
  <c r="AM57" i="112"/>
  <c r="C7" i="131"/>
  <c r="T58" i="112"/>
  <c r="U58"/>
  <c r="D21" i="131"/>
  <c r="W58" i="112"/>
  <c r="D19" i="131"/>
  <c r="D31"/>
  <c r="Z58" i="112"/>
  <c r="AA58"/>
  <c r="AB58"/>
  <c r="AD58"/>
  <c r="D26" i="131"/>
  <c r="AE58" i="112"/>
  <c r="D27" i="131"/>
  <c r="AG58" i="112"/>
  <c r="AI58"/>
  <c r="D34" i="131"/>
  <c r="AL58" i="112"/>
  <c r="R59"/>
  <c r="S59"/>
  <c r="U59"/>
  <c r="D21" i="74"/>
  <c r="V59" i="112"/>
  <c r="D22" i="74"/>
  <c r="W59" i="112"/>
  <c r="D19" i="74"/>
  <c r="Z59" i="112"/>
  <c r="AA59"/>
  <c r="AB59"/>
  <c r="AD59"/>
  <c r="D26" i="74"/>
  <c r="AE59" i="112"/>
  <c r="D27" i="74"/>
  <c r="AG59" i="112"/>
  <c r="D31" i="74"/>
  <c r="AJ59" i="112"/>
  <c r="D42" i="74"/>
  <c r="AK59" i="112"/>
  <c r="D36" i="74"/>
  <c r="AL59" i="112"/>
  <c r="AM59"/>
  <c r="D40" i="74"/>
  <c r="R60" i="112"/>
  <c r="U60"/>
  <c r="D21" i="73"/>
  <c r="V60" i="112"/>
  <c r="W60"/>
  <c r="D19" i="73"/>
  <c r="Z60" i="112"/>
  <c r="AA60"/>
  <c r="AB60"/>
  <c r="D25" i="73"/>
  <c r="AD60" i="112"/>
  <c r="D26" i="73"/>
  <c r="AE60" i="112"/>
  <c r="D27" i="73"/>
  <c r="AG60" i="112"/>
  <c r="D31" i="73"/>
  <c r="AK60" i="112"/>
  <c r="D36" i="73"/>
  <c r="AL60" i="112"/>
  <c r="D38" i="73"/>
  <c r="AM60" i="112"/>
  <c r="D40" i="73"/>
  <c r="C8" i="71"/>
  <c r="R61" i="112"/>
  <c r="T61"/>
  <c r="E14" i="71"/>
  <c r="S61" i="112"/>
  <c r="U61"/>
  <c r="D21" i="71"/>
  <c r="W61" i="112"/>
  <c r="D19" i="71"/>
  <c r="Z61" i="112"/>
  <c r="AA61"/>
  <c r="AB61"/>
  <c r="D25" i="71"/>
  <c r="AD61" i="112"/>
  <c r="D26" i="71"/>
  <c r="AE61" i="112"/>
  <c r="D27" i="71"/>
  <c r="AG61" i="112"/>
  <c r="D31" i="71"/>
  <c r="AJ61" i="112"/>
  <c r="AK61"/>
  <c r="D36" i="71"/>
  <c r="AL61" i="112"/>
  <c r="AM61"/>
  <c r="D40" i="71"/>
  <c r="C8" i="100"/>
  <c r="R62" i="112"/>
  <c r="U62"/>
  <c r="D21" i="100"/>
  <c r="V62" i="112"/>
  <c r="D22" i="100"/>
  <c r="W62" i="112"/>
  <c r="D19" i="100"/>
  <c r="Z62" i="112"/>
  <c r="AA62"/>
  <c r="AB62"/>
  <c r="D25" i="100"/>
  <c r="AD62" i="112"/>
  <c r="D26" i="100"/>
  <c r="AE62" i="112"/>
  <c r="D27" i="100"/>
  <c r="AG62" i="112"/>
  <c r="D31" i="100"/>
  <c r="AJ62" i="112"/>
  <c r="D42" i="100"/>
  <c r="AK62" i="112"/>
  <c r="D36" i="100"/>
  <c r="AL62" i="112"/>
  <c r="D38" i="100"/>
  <c r="AM62" i="112"/>
  <c r="D40" i="100"/>
  <c r="C8" i="99"/>
  <c r="R63" i="112"/>
  <c r="T63"/>
  <c r="S63"/>
  <c r="U63"/>
  <c r="D21" i="99"/>
  <c r="V63" i="112"/>
  <c r="D22" i="99"/>
  <c r="W63" i="112"/>
  <c r="D19" i="99"/>
  <c r="X63" i="112"/>
  <c r="D31" i="99"/>
  <c r="Z63" i="112"/>
  <c r="AA63"/>
  <c r="AB63"/>
  <c r="D25" i="99"/>
  <c r="AD63" i="112"/>
  <c r="AE63"/>
  <c r="D27" i="99"/>
  <c r="AG63" i="112"/>
  <c r="AI63"/>
  <c r="D34" i="99"/>
  <c r="AJ63" i="112"/>
  <c r="D43" i="99"/>
  <c r="AK63" i="112"/>
  <c r="D37" i="99"/>
  <c r="AL63" i="112"/>
  <c r="AM63"/>
  <c r="R64"/>
  <c r="U64"/>
  <c r="V64"/>
  <c r="D22" i="98"/>
  <c r="W64" i="112"/>
  <c r="D19" i="98"/>
  <c r="Z64" i="112"/>
  <c r="AA64"/>
  <c r="AB64"/>
  <c r="D25" i="98"/>
  <c r="AD64" i="112"/>
  <c r="D26" i="98"/>
  <c r="AE64" i="112"/>
  <c r="D27" i="98"/>
  <c r="AG64" i="112"/>
  <c r="D31" i="98"/>
  <c r="AI64" i="112"/>
  <c r="D33" i="98"/>
  <c r="AJ64" i="112"/>
  <c r="D42" i="98"/>
  <c r="AK64" i="112"/>
  <c r="D36" i="98"/>
  <c r="AL64" i="112"/>
  <c r="D38" i="98"/>
  <c r="AM64" i="112"/>
  <c r="D40" i="98"/>
  <c r="R65" i="112"/>
  <c r="T65"/>
  <c r="E14" i="97"/>
  <c r="S65" i="112"/>
  <c r="U65"/>
  <c r="D21" i="97"/>
  <c r="V65" i="112"/>
  <c r="W65"/>
  <c r="D19" i="97"/>
  <c r="D43" s="1"/>
  <c r="E42" s="1"/>
  <c r="Z65" i="112"/>
  <c r="AA65"/>
  <c r="AB65"/>
  <c r="D25" i="97"/>
  <c r="AD65" i="112"/>
  <c r="D26" i="97"/>
  <c r="AE65" i="112"/>
  <c r="D27" i="97"/>
  <c r="AG65" i="112"/>
  <c r="D31" i="97"/>
  <c r="AI65" i="112"/>
  <c r="D33" i="97"/>
  <c r="AJ65" i="112"/>
  <c r="D42" i="97"/>
  <c r="AK65" i="112"/>
  <c r="AL65"/>
  <c r="D38" i="97"/>
  <c r="AM65" i="112"/>
  <c r="D40" i="97"/>
  <c r="T66" i="112"/>
  <c r="U66"/>
  <c r="D21" i="72"/>
  <c r="V66" i="112"/>
  <c r="D22" i="72"/>
  <c r="W66" i="112"/>
  <c r="D19" i="72"/>
  <c r="Z66" i="112"/>
  <c r="AA66"/>
  <c r="AB66"/>
  <c r="D25" i="72"/>
  <c r="D24"/>
  <c r="AD66" i="112"/>
  <c r="AE66"/>
  <c r="D27" i="72"/>
  <c r="AG66" i="112"/>
  <c r="D31" i="72"/>
  <c r="AJ66" i="112"/>
  <c r="D42" i="72"/>
  <c r="AK66" i="112"/>
  <c r="D36" i="72"/>
  <c r="AL66" i="112"/>
  <c r="D38" i="72"/>
  <c r="AM66" i="112"/>
  <c r="D40" i="72"/>
  <c r="R67" i="112"/>
  <c r="T67"/>
  <c r="U67"/>
  <c r="D21" i="96"/>
  <c r="V67" i="112"/>
  <c r="W67"/>
  <c r="D19" i="96"/>
  <c r="Z67" i="112"/>
  <c r="AA67"/>
  <c r="AB67"/>
  <c r="D25" i="96"/>
  <c r="AD67" i="112"/>
  <c r="D26" i="96"/>
  <c r="AE67" i="112"/>
  <c r="D27" i="96"/>
  <c r="AG67" i="112"/>
  <c r="AJ67"/>
  <c r="D42" i="96"/>
  <c r="AK67" i="112"/>
  <c r="AL67"/>
  <c r="D38" i="96"/>
  <c r="AM67" i="112"/>
  <c r="O68"/>
  <c r="E10" i="82"/>
  <c r="C8"/>
  <c r="T68" i="112"/>
  <c r="U68"/>
  <c r="D21" i="82"/>
  <c r="V68" i="112"/>
  <c r="D22" i="82"/>
  <c r="W68" i="112"/>
  <c r="D19" i="82"/>
  <c r="D43" s="1"/>
  <c r="E42" s="1"/>
  <c r="Z68" i="112"/>
  <c r="AA68"/>
  <c r="AB68"/>
  <c r="D25" i="82"/>
  <c r="AD68" i="112"/>
  <c r="D26" i="82"/>
  <c r="AE68" i="112"/>
  <c r="D27" i="82"/>
  <c r="AG68" i="112"/>
  <c r="D31" i="82"/>
  <c r="AI68" i="112"/>
  <c r="AJ68"/>
  <c r="D42" i="82"/>
  <c r="AK68" i="112"/>
  <c r="D36" i="82"/>
  <c r="AL68" i="112"/>
  <c r="D38" i="82"/>
  <c r="AM68" i="112"/>
  <c r="C8" i="116"/>
  <c r="T69" i="112"/>
  <c r="U69"/>
  <c r="D21" i="116"/>
  <c r="V69" i="112"/>
  <c r="D22" i="116"/>
  <c r="W69" i="112"/>
  <c r="D19" i="116"/>
  <c r="Z69" i="112"/>
  <c r="AA69"/>
  <c r="AB69"/>
  <c r="D25" i="116"/>
  <c r="AD69" i="112"/>
  <c r="D26" i="116"/>
  <c r="AE69" i="112"/>
  <c r="D27" i="116"/>
  <c r="AG69" i="112"/>
  <c r="D31" i="116"/>
  <c r="D33"/>
  <c r="AJ69" i="112"/>
  <c r="D42" i="116"/>
  <c r="AK69" i="112"/>
  <c r="D36" i="116"/>
  <c r="AL69" i="112"/>
  <c r="D38" i="116"/>
  <c r="AM69" i="112"/>
  <c r="D40" i="116"/>
  <c r="O70" i="112"/>
  <c r="E10" i="129"/>
  <c r="C8"/>
  <c r="T70" i="112"/>
  <c r="U70"/>
  <c r="V70"/>
  <c r="D22" i="129"/>
  <c r="W70" i="112"/>
  <c r="D19" i="129"/>
  <c r="Z70" i="112"/>
  <c r="AA70"/>
  <c r="AB70"/>
  <c r="D25" i="129"/>
  <c r="AD70" i="112"/>
  <c r="D26" i="129"/>
  <c r="AE70" i="112"/>
  <c r="AG70"/>
  <c r="D32" i="129"/>
  <c r="AJ70" i="112"/>
  <c r="D43" i="129"/>
  <c r="AK70" i="112"/>
  <c r="D37" i="129"/>
  <c r="AL70" i="112"/>
  <c r="D39" i="129"/>
  <c r="U71" i="112"/>
  <c r="V71"/>
  <c r="D22" i="126"/>
  <c r="W71" i="112"/>
  <c r="D19" i="126"/>
  <c r="D31"/>
  <c r="Z71" i="112"/>
  <c r="AA71"/>
  <c r="AB71"/>
  <c r="AC71"/>
  <c r="D24" i="126"/>
  <c r="AD71" i="112"/>
  <c r="D26" i="126"/>
  <c r="AE71" i="112"/>
  <c r="D27" i="126"/>
  <c r="AG71" i="112"/>
  <c r="D32" i="126"/>
  <c r="AJ71" i="112"/>
  <c r="D43" i="126"/>
  <c r="AK71" i="112"/>
  <c r="D37" i="126"/>
  <c r="AL71" i="112"/>
  <c r="D39" i="126"/>
  <c r="T72" i="112"/>
  <c r="U72"/>
  <c r="D21" i="130"/>
  <c r="V72" i="112"/>
  <c r="D22" i="130"/>
  <c r="W72" i="112"/>
  <c r="D19" i="130"/>
  <c r="D31"/>
  <c r="Z72" i="112"/>
  <c r="AA72"/>
  <c r="AB72"/>
  <c r="D25" i="130"/>
  <c r="AC72" i="112"/>
  <c r="D24" i="130"/>
  <c r="AD72" i="112"/>
  <c r="D26" i="130"/>
  <c r="AE72" i="112"/>
  <c r="D27" i="130"/>
  <c r="AG72" i="112"/>
  <c r="D32" i="130"/>
  <c r="AJ72" i="112"/>
  <c r="D43" i="130"/>
  <c r="AK72" i="112"/>
  <c r="D37" i="130"/>
  <c r="AL72" i="112"/>
  <c r="D39" i="130"/>
  <c r="C7" i="132"/>
  <c r="T73" i="112"/>
  <c r="U73"/>
  <c r="V73"/>
  <c r="W73"/>
  <c r="D19" i="132"/>
  <c r="Z73" i="112"/>
  <c r="AA73"/>
  <c r="D23" i="132"/>
  <c r="AB73" i="112"/>
  <c r="D25" i="132"/>
  <c r="AC73" i="112"/>
  <c r="D24" i="132"/>
  <c r="AD73" i="112"/>
  <c r="D26" i="132"/>
  <c r="AE73" i="112"/>
  <c r="AG73"/>
  <c r="D32" i="132"/>
  <c r="AI73" i="112"/>
  <c r="AK73"/>
  <c r="AL73"/>
  <c r="D39" i="132"/>
  <c r="AM73" i="112"/>
  <c r="D41" i="132"/>
  <c r="O74" i="112"/>
  <c r="E10" i="117"/>
  <c r="T74" i="112"/>
  <c r="U74"/>
  <c r="D21" i="117"/>
  <c r="V74" i="112"/>
  <c r="W74"/>
  <c r="D19" i="117"/>
  <c r="D43" s="1"/>
  <c r="E42" s="1"/>
  <c r="Z74" i="112"/>
  <c r="AA74"/>
  <c r="AB74"/>
  <c r="AD74"/>
  <c r="D26" i="117"/>
  <c r="AE74" i="112"/>
  <c r="D27" i="117"/>
  <c r="AG74" i="112"/>
  <c r="AI74"/>
  <c r="AJ74"/>
  <c r="D42" i="117"/>
  <c r="AK74" i="112"/>
  <c r="D36" i="117"/>
  <c r="AL74" i="112"/>
  <c r="AM74"/>
  <c r="R75"/>
  <c r="S75"/>
  <c r="U75"/>
  <c r="V75"/>
  <c r="D22" i="119"/>
  <c r="W75" i="112"/>
  <c r="D19" i="119"/>
  <c r="Y75" i="112"/>
  <c r="Z75"/>
  <c r="AA75"/>
  <c r="AB75"/>
  <c r="D25" i="119"/>
  <c r="AC75" i="112"/>
  <c r="D24" i="119"/>
  <c r="AD75" i="112"/>
  <c r="D26" i="119"/>
  <c r="AE75" i="112"/>
  <c r="AG75"/>
  <c r="D32" i="119"/>
  <c r="AJ75" i="112"/>
  <c r="D43" i="119"/>
  <c r="AK75" i="112"/>
  <c r="D37" i="119"/>
  <c r="AL75" i="112"/>
  <c r="AM75"/>
  <c r="D41" i="119"/>
  <c r="C7" i="134"/>
  <c r="C8"/>
  <c r="C9"/>
  <c r="T76" i="112"/>
  <c r="U76"/>
  <c r="V76"/>
  <c r="D22" i="134"/>
  <c r="W76" i="112"/>
  <c r="X76"/>
  <c r="Y76"/>
  <c r="Z76"/>
  <c r="AA76"/>
  <c r="AB76"/>
  <c r="AD76"/>
  <c r="AE76"/>
  <c r="D27" i="134"/>
  <c r="AG76" i="112"/>
  <c r="AI76"/>
  <c r="D35" i="134"/>
  <c r="AJ76" i="112"/>
  <c r="D44" i="134"/>
  <c r="AK76" i="112"/>
  <c r="AL76"/>
  <c r="D40" i="134"/>
  <c r="AM76" i="112"/>
  <c r="D42" i="134"/>
  <c r="C8" i="123"/>
  <c r="T77" i="112"/>
  <c r="U77"/>
  <c r="D21" i="123"/>
  <c r="V77" i="112"/>
  <c r="D22" i="123"/>
  <c r="W77" i="112"/>
  <c r="Z77"/>
  <c r="AA77"/>
  <c r="AB77"/>
  <c r="AD77"/>
  <c r="D26" i="123"/>
  <c r="AE77" i="112"/>
  <c r="D27" i="123"/>
  <c r="AG77" i="112"/>
  <c r="D31" i="123"/>
  <c r="AJ77" i="112"/>
  <c r="D42" i="123"/>
  <c r="AK77" i="112"/>
  <c r="D36" i="123"/>
  <c r="AL77" i="112"/>
  <c r="D38" i="123"/>
  <c r="AM77" i="112"/>
  <c r="D40" i="123"/>
  <c r="O78" i="112"/>
  <c r="E10" i="69"/>
  <c r="T78" i="112"/>
  <c r="U78"/>
  <c r="V78"/>
  <c r="D22" i="69"/>
  <c r="W78" i="112"/>
  <c r="D19" i="69"/>
  <c r="Z78" i="112"/>
  <c r="AA78"/>
  <c r="AB78"/>
  <c r="D25" i="69"/>
  <c r="AD78" i="112"/>
  <c r="D26" i="69"/>
  <c r="AE78" i="112"/>
  <c r="D27" i="69"/>
  <c r="AG78" i="112"/>
  <c r="D31" i="69"/>
  <c r="D33"/>
  <c r="AJ78" i="112"/>
  <c r="D42" i="69"/>
  <c r="AK78" i="112"/>
  <c r="D36" i="69"/>
  <c r="AL78" i="112"/>
  <c r="AM78"/>
  <c r="C8" i="68"/>
  <c r="R79" i="112"/>
  <c r="T79"/>
  <c r="S79"/>
  <c r="U79"/>
  <c r="D21" i="68"/>
  <c r="V79" i="112"/>
  <c r="W79"/>
  <c r="Z79"/>
  <c r="AA79"/>
  <c r="AB79"/>
  <c r="AD79"/>
  <c r="D26" i="68"/>
  <c r="AE79" i="112"/>
  <c r="D27" i="68"/>
  <c r="AG79" i="112"/>
  <c r="D31" i="68"/>
  <c r="AJ79" i="112"/>
  <c r="D42" i="68"/>
  <c r="AK79" i="112"/>
  <c r="D36" i="68"/>
  <c r="AL79" i="112"/>
  <c r="D38" i="68"/>
  <c r="AM79" i="112"/>
  <c r="D40" i="68"/>
  <c r="R80" i="112"/>
  <c r="T80"/>
  <c r="S80"/>
  <c r="U80"/>
  <c r="D21" i="65"/>
  <c r="V80" i="112"/>
  <c r="D22" i="65"/>
  <c r="W80" i="112"/>
  <c r="D19" i="65"/>
  <c r="Z80" i="112"/>
  <c r="AA80"/>
  <c r="AB80"/>
  <c r="D25" i="65"/>
  <c r="AD80" i="112"/>
  <c r="D26" i="65"/>
  <c r="AE80" i="112"/>
  <c r="D27" i="65"/>
  <c r="AG80" i="112"/>
  <c r="D31" i="65"/>
  <c r="AJ80" i="112"/>
  <c r="D42" i="65"/>
  <c r="AK80" i="112"/>
  <c r="D36" i="65"/>
  <c r="AL80" i="112"/>
  <c r="D38" i="65"/>
  <c r="AM80" i="112"/>
  <c r="D40" i="65"/>
  <c r="R81" i="112"/>
  <c r="S81"/>
  <c r="T81"/>
  <c r="U81"/>
  <c r="D21" i="62"/>
  <c r="V81" i="112"/>
  <c r="D22" i="62"/>
  <c r="W81" i="112"/>
  <c r="D19" i="62"/>
  <c r="D43" s="1"/>
  <c r="Z81" i="112"/>
  <c r="AA81"/>
  <c r="AB81"/>
  <c r="D25" i="62"/>
  <c r="AD81" i="112"/>
  <c r="AE81"/>
  <c r="D27" i="62"/>
  <c r="AG81" i="112"/>
  <c r="D31" i="62"/>
  <c r="AJ81" i="112"/>
  <c r="D42" i="62"/>
  <c r="AK81" i="112"/>
  <c r="D36" i="62"/>
  <c r="AL81" i="112"/>
  <c r="D38" i="62"/>
  <c r="AM81" i="112"/>
  <c r="D40" i="62"/>
  <c r="R82" i="112"/>
  <c r="S82"/>
  <c r="T82"/>
  <c r="U82"/>
  <c r="D21" i="61"/>
  <c r="V82" i="112"/>
  <c r="D22" i="61"/>
  <c r="W82" i="112"/>
  <c r="Z82"/>
  <c r="AA82"/>
  <c r="AB82"/>
  <c r="D25" i="61"/>
  <c r="AD82" i="112"/>
  <c r="D26" i="61"/>
  <c r="AE82" i="112"/>
  <c r="D27" i="61"/>
  <c r="AG82" i="112"/>
  <c r="D31" i="61"/>
  <c r="AI82" i="112"/>
  <c r="D33" i="61"/>
  <c r="D42"/>
  <c r="AK82" i="112"/>
  <c r="AL82"/>
  <c r="D38" i="61"/>
  <c r="O83" i="112"/>
  <c r="R83"/>
  <c r="S83"/>
  <c r="U83"/>
  <c r="D21" i="67"/>
  <c r="V83" i="112"/>
  <c r="W83"/>
  <c r="D19" i="67"/>
  <c r="Z83" i="112"/>
  <c r="AA83"/>
  <c r="AB83"/>
  <c r="D25" i="67"/>
  <c r="D24"/>
  <c r="AD83" i="112"/>
  <c r="AE83"/>
  <c r="D27" i="67"/>
  <c r="AG83" i="112"/>
  <c r="D31" i="67"/>
  <c r="AJ83" i="112"/>
  <c r="D42" i="67"/>
  <c r="AK83" i="112"/>
  <c r="AL83"/>
  <c r="AM83"/>
  <c r="D40" i="67"/>
  <c r="C8" i="64"/>
  <c r="D22"/>
  <c r="D19"/>
  <c r="D25"/>
  <c r="D24"/>
  <c r="D26"/>
  <c r="D27"/>
  <c r="D31"/>
  <c r="D42"/>
  <c r="D36"/>
  <c r="D38"/>
  <c r="C8" i="63"/>
  <c r="T84" i="112"/>
  <c r="U84"/>
  <c r="D21" i="63"/>
  <c r="V84" i="112"/>
  <c r="D22" i="63"/>
  <c r="W84" i="112"/>
  <c r="D19" i="63"/>
  <c r="Z84" i="112"/>
  <c r="AA84"/>
  <c r="AB84"/>
  <c r="D25" i="63"/>
  <c r="D24"/>
  <c r="AD84" i="112"/>
  <c r="D26" i="63"/>
  <c r="AE84" i="112"/>
  <c r="D27" i="63"/>
  <c r="AG84" i="112"/>
  <c r="D31" i="63"/>
  <c r="AI84" i="112"/>
  <c r="D33" i="63"/>
  <c r="AJ84" i="112"/>
  <c r="D42" i="63"/>
  <c r="AK84" i="112"/>
  <c r="D36" i="63"/>
  <c r="AL84" i="112"/>
  <c r="D38" i="63"/>
  <c r="AM84" i="112"/>
  <c r="D40" i="63"/>
  <c r="D33" i="76"/>
  <c r="D24" i="99"/>
  <c r="D24" i="76"/>
  <c r="D4" i="63"/>
  <c r="D4" i="64"/>
  <c r="D4" i="67"/>
  <c r="D4" i="61"/>
  <c r="D4" i="62"/>
  <c r="D4" i="65"/>
  <c r="D4" i="68"/>
  <c r="D4" i="69"/>
  <c r="D4" i="123"/>
  <c r="D4" i="134"/>
  <c r="D4" i="119"/>
  <c r="D4" i="117"/>
  <c r="D4" i="132"/>
  <c r="D4" i="130"/>
  <c r="D4" i="126"/>
  <c r="D4" i="129"/>
  <c r="D4" i="116"/>
  <c r="D4" i="82"/>
  <c r="D4" i="96"/>
  <c r="D4" i="72"/>
  <c r="D4" i="97"/>
  <c r="D4" i="98"/>
  <c r="D4" i="99"/>
  <c r="D4" i="100"/>
  <c r="D4" i="71"/>
  <c r="D4" i="73"/>
  <c r="D4" i="74"/>
  <c r="D4" i="131"/>
  <c r="D4" i="101"/>
  <c r="D4" i="80"/>
  <c r="D4" i="79"/>
  <c r="D4" i="23"/>
  <c r="D4" i="10"/>
  <c r="D4" i="11"/>
  <c r="D4" i="12"/>
  <c r="D4" i="13"/>
  <c r="D4" i="14"/>
  <c r="D4" i="19"/>
  <c r="D4" i="15"/>
  <c r="D4" i="16"/>
  <c r="D4" i="22"/>
  <c r="D4" i="114"/>
  <c r="D4" i="121"/>
  <c r="D4" i="17"/>
  <c r="D4" i="2"/>
  <c r="D4" i="84"/>
  <c r="D4" i="21"/>
  <c r="D4" i="76"/>
  <c r="D4" i="77"/>
  <c r="D4" i="9"/>
  <c r="D4" i="105"/>
  <c r="D4" i="75"/>
  <c r="D4" i="102"/>
  <c r="D4" i="103"/>
  <c r="D4" i="104"/>
  <c r="D4" i="106"/>
  <c r="D4" i="107"/>
  <c r="D4" i="133"/>
  <c r="C9"/>
  <c r="C6"/>
  <c r="D4" i="125"/>
  <c r="D4" i="120"/>
  <c r="D4" i="6"/>
  <c r="D4" i="108"/>
  <c r="D4" i="109"/>
  <c r="D4" i="115"/>
  <c r="D4" i="4"/>
  <c r="D4" i="5"/>
  <c r="D4" i="7"/>
  <c r="D4" i="128"/>
  <c r="D4" i="8"/>
  <c r="D4" i="18"/>
  <c r="C4" i="93"/>
  <c r="D4"/>
  <c r="D4" i="81"/>
  <c r="D4" i="86"/>
  <c r="D4" i="89"/>
  <c r="D4" i="87"/>
  <c r="D4" i="88"/>
  <c r="D4" i="90"/>
  <c r="D4" i="91"/>
  <c r="D4" i="92"/>
  <c r="D4" i="94"/>
  <c r="D4" i="95"/>
  <c r="D4" i="83"/>
  <c r="AF87" i="112"/>
  <c r="D40" i="64"/>
  <c r="D21"/>
  <c r="D38" i="67"/>
  <c r="D26"/>
  <c r="D22"/>
  <c r="D43" s="1"/>
  <c r="E42" s="1"/>
  <c r="D40" i="61"/>
  <c r="D36"/>
  <c r="D19"/>
  <c r="D44" s="1"/>
  <c r="E42" s="1"/>
  <c r="D26" i="62"/>
  <c r="D23"/>
  <c r="D24" i="68"/>
  <c r="D25"/>
  <c r="D19"/>
  <c r="D22"/>
  <c r="D43" s="1"/>
  <c r="E42" s="1"/>
  <c r="D40" i="69"/>
  <c r="D38"/>
  <c r="D21"/>
  <c r="D24" i="123"/>
  <c r="D25"/>
  <c r="D19"/>
  <c r="D31" i="134"/>
  <c r="D32"/>
  <c r="D38"/>
  <c r="D33"/>
  <c r="D26"/>
  <c r="D25"/>
  <c r="D19"/>
  <c r="D45" s="1"/>
  <c r="E44" s="1"/>
  <c r="D21"/>
  <c r="D31" i="119"/>
  <c r="D34"/>
  <c r="D27"/>
  <c r="D40" i="117"/>
  <c r="D38"/>
  <c r="D33"/>
  <c r="D31"/>
  <c r="D25"/>
  <c r="D22"/>
  <c r="D31" i="132"/>
  <c r="D37"/>
  <c r="D34"/>
  <c r="D27"/>
  <c r="D22"/>
  <c r="D21"/>
  <c r="D41" i="130"/>
  <c r="D34"/>
  <c r="D34" i="126"/>
  <c r="D25"/>
  <c r="D24" i="116"/>
  <c r="D33" i="82"/>
  <c r="D24" i="96"/>
  <c r="D36"/>
  <c r="D26" i="72"/>
  <c r="D41" i="99"/>
  <c r="D26"/>
  <c r="D38" i="71"/>
  <c r="D42"/>
  <c r="D33"/>
  <c r="D24"/>
  <c r="D24" i="73"/>
  <c r="D38" i="74"/>
  <c r="D33"/>
  <c r="D25"/>
  <c r="D41" i="131"/>
  <c r="D32"/>
  <c r="D25"/>
  <c r="D40" i="101"/>
  <c r="D24"/>
  <c r="D42" i="80"/>
  <c r="D36" i="79"/>
  <c r="D42"/>
  <c r="D25"/>
  <c r="D19"/>
  <c r="D22"/>
  <c r="D38" i="23"/>
  <c r="D31"/>
  <c r="D25"/>
  <c r="D22"/>
  <c r="D27" i="10"/>
  <c r="D22"/>
  <c r="D21"/>
  <c r="D40" i="11"/>
  <c r="D27"/>
  <c r="D25"/>
  <c r="D19"/>
  <c r="D43" s="1"/>
  <c r="E42" s="1"/>
  <c r="D38" i="12"/>
  <c r="D36"/>
  <c r="D25"/>
  <c r="D42" i="13"/>
  <c r="D33"/>
  <c r="D31"/>
  <c r="D26"/>
  <c r="D25"/>
  <c r="D22"/>
  <c r="D40" i="14"/>
  <c r="D42"/>
  <c r="D33"/>
  <c r="D31"/>
  <c r="D25"/>
  <c r="D19"/>
  <c r="D22"/>
  <c r="D43" i="19"/>
  <c r="D32"/>
  <c r="D31"/>
  <c r="D25"/>
  <c r="D40" i="15"/>
  <c r="D42"/>
  <c r="D25"/>
  <c r="D22"/>
  <c r="D40" i="16"/>
  <c r="D36"/>
  <c r="D31"/>
  <c r="D25"/>
  <c r="D23"/>
  <c r="D21"/>
  <c r="D40" i="22"/>
  <c r="D42"/>
  <c r="D31"/>
  <c r="D24"/>
  <c r="D25"/>
  <c r="D22"/>
  <c r="D43" s="1"/>
  <c r="E42" s="1"/>
  <c r="D38" i="114"/>
  <c r="D31"/>
  <c r="D26"/>
  <c r="D24"/>
  <c r="D38" i="121"/>
  <c r="D31"/>
  <c r="D27"/>
  <c r="D19"/>
  <c r="D22"/>
  <c r="D21"/>
  <c r="D36" i="17"/>
  <c r="D31"/>
  <c r="D27"/>
  <c r="D24"/>
  <c r="D22"/>
  <c r="D40" i="2"/>
  <c r="D38"/>
  <c r="D42"/>
  <c r="D31"/>
  <c r="D27"/>
  <c r="D22"/>
  <c r="D33" i="84"/>
  <c r="D27"/>
  <c r="D23"/>
  <c r="D21"/>
  <c r="D42" i="21"/>
  <c r="D21"/>
  <c r="D19" i="76"/>
  <c r="D43" s="1"/>
  <c r="E42" s="1"/>
  <c r="D22"/>
  <c r="D38" i="77"/>
  <c r="D36"/>
  <c r="D42"/>
  <c r="D24"/>
  <c r="D25"/>
  <c r="D19"/>
  <c r="D21"/>
  <c r="D38" i="9"/>
  <c r="D42"/>
  <c r="D27"/>
  <c r="D24"/>
  <c r="D25"/>
  <c r="D19"/>
  <c r="D22"/>
  <c r="D40" i="105"/>
  <c r="D36"/>
  <c r="D42"/>
  <c r="D26"/>
  <c r="D19"/>
  <c r="D22"/>
  <c r="D21"/>
  <c r="D44" i="75"/>
  <c r="D33"/>
  <c r="D25"/>
  <c r="D19"/>
  <c r="D45" s="1"/>
  <c r="E44" s="1"/>
  <c r="D21"/>
  <c r="D40" i="102"/>
  <c r="D38"/>
  <c r="D33"/>
  <c r="D31"/>
  <c r="D27"/>
  <c r="D24"/>
  <c r="D19"/>
  <c r="D43" s="1"/>
  <c r="E42" s="1"/>
  <c r="D40" i="103"/>
  <c r="D31"/>
  <c r="D26"/>
  <c r="D24"/>
  <c r="D19"/>
  <c r="D22"/>
  <c r="D21"/>
  <c r="D43" s="1"/>
  <c r="E42" s="1"/>
  <c r="D41" i="104"/>
  <c r="D43"/>
  <c r="D34"/>
  <c r="D27"/>
  <c r="D26"/>
  <c r="D22"/>
  <c r="D42" i="106"/>
  <c r="D33"/>
  <c r="D27"/>
  <c r="D26"/>
  <c r="D19"/>
  <c r="D43" s="1"/>
  <c r="E42" s="1"/>
  <c r="D21"/>
  <c r="D38" i="107"/>
  <c r="D42"/>
  <c r="D31"/>
  <c r="D27"/>
  <c r="D25"/>
  <c r="D38" i="133"/>
  <c r="D33"/>
  <c r="D31"/>
  <c r="D25"/>
  <c r="D38" i="125"/>
  <c r="D42"/>
  <c r="D24"/>
  <c r="D21"/>
  <c r="D39" i="120"/>
  <c r="D37"/>
  <c r="D27"/>
  <c r="D23"/>
  <c r="D19"/>
  <c r="D44" s="1"/>
  <c r="E43" s="1"/>
  <c r="D22"/>
  <c r="D40" i="6"/>
  <c r="D38"/>
  <c r="D36"/>
  <c r="D31"/>
  <c r="D27"/>
  <c r="D24"/>
  <c r="D25"/>
  <c r="D23"/>
  <c r="D22"/>
  <c r="D36" i="108"/>
  <c r="D33"/>
  <c r="D31"/>
  <c r="D26"/>
  <c r="D24"/>
  <c r="D25"/>
  <c r="D19"/>
  <c r="D40" i="109"/>
  <c r="D36"/>
  <c r="D26"/>
  <c r="D25"/>
  <c r="D19"/>
  <c r="D22"/>
  <c r="D40" i="115"/>
  <c r="D36"/>
  <c r="D26"/>
  <c r="D25"/>
  <c r="D19"/>
  <c r="D43" s="1"/>
  <c r="E42" s="1"/>
  <c r="D22"/>
  <c r="D40" i="4"/>
  <c r="D38"/>
  <c r="D36"/>
  <c r="D31"/>
  <c r="D27"/>
  <c r="D26"/>
  <c r="D24"/>
  <c r="D23"/>
  <c r="D19"/>
  <c r="D43" s="1"/>
  <c r="E42" s="1"/>
  <c r="D40" i="5"/>
  <c r="D36"/>
  <c r="D33"/>
  <c r="D31"/>
  <c r="D25"/>
  <c r="D19"/>
  <c r="D43" s="1"/>
  <c r="E42" s="1"/>
  <c r="D22"/>
  <c r="D40" i="7"/>
  <c r="D36"/>
  <c r="D42"/>
  <c r="D31"/>
  <c r="D24"/>
  <c r="D25"/>
  <c r="D19"/>
  <c r="D21"/>
  <c r="D43" s="1"/>
  <c r="E42" s="1"/>
  <c r="D38" i="128"/>
  <c r="D36"/>
  <c r="D33"/>
  <c r="D31"/>
  <c r="D27"/>
  <c r="D26"/>
  <c r="D24"/>
  <c r="D36" i="8"/>
  <c r="D42"/>
  <c r="D31"/>
  <c r="D26"/>
  <c r="D24"/>
  <c r="D25"/>
  <c r="D22"/>
  <c r="D21"/>
  <c r="D40" i="18"/>
  <c r="D38"/>
  <c r="D36"/>
  <c r="D31"/>
  <c r="D27"/>
  <c r="D26"/>
  <c r="D19"/>
  <c r="D22"/>
  <c r="D38" i="93"/>
  <c r="D36"/>
  <c r="D31"/>
  <c r="D27"/>
  <c r="D26"/>
  <c r="D25"/>
  <c r="D19"/>
  <c r="D43" s="1"/>
  <c r="E42" s="1"/>
  <c r="D21"/>
  <c r="D40" i="81"/>
  <c r="D42"/>
  <c r="D33"/>
  <c r="D31"/>
  <c r="D27"/>
  <c r="D26"/>
  <c r="D24"/>
  <c r="D23"/>
  <c r="D22"/>
  <c r="D40" i="86"/>
  <c r="D38"/>
  <c r="D36"/>
  <c r="D31"/>
  <c r="D27"/>
  <c r="D26"/>
  <c r="D24"/>
  <c r="D23"/>
  <c r="D19"/>
  <c r="D21"/>
  <c r="D43" s="1"/>
  <c r="E42" s="1"/>
  <c r="D40" i="89"/>
  <c r="D38"/>
  <c r="D42"/>
  <c r="D31"/>
  <c r="D27"/>
  <c r="D26"/>
  <c r="D25"/>
  <c r="D19"/>
  <c r="D21"/>
  <c r="D36" i="87"/>
  <c r="D42"/>
  <c r="D31"/>
  <c r="D24"/>
  <c r="D25"/>
  <c r="D19"/>
  <c r="D38" i="88"/>
  <c r="D36"/>
  <c r="D42"/>
  <c r="D31"/>
  <c r="D27"/>
  <c r="D26"/>
  <c r="D24"/>
  <c r="D23"/>
  <c r="D19"/>
  <c r="D43" s="1"/>
  <c r="E42" s="1"/>
  <c r="D38" i="90"/>
  <c r="D36"/>
  <c r="D42"/>
  <c r="D27"/>
  <c r="D26"/>
  <c r="D25"/>
  <c r="D23"/>
  <c r="D19"/>
  <c r="D22"/>
  <c r="D38" i="91"/>
  <c r="D36"/>
  <c r="D42"/>
  <c r="D33"/>
  <c r="D27"/>
  <c r="D26"/>
  <c r="D25"/>
  <c r="D19"/>
  <c r="D43" s="1"/>
  <c r="E42" s="1"/>
  <c r="D22"/>
  <c r="D38" i="92"/>
  <c r="D36"/>
  <c r="D42"/>
  <c r="D31"/>
  <c r="D27"/>
  <c r="D26"/>
  <c r="D24"/>
  <c r="D19"/>
  <c r="D22"/>
  <c r="D21"/>
  <c r="D40" i="94"/>
  <c r="D38"/>
  <c r="D36"/>
  <c r="D31"/>
  <c r="D27"/>
  <c r="D26"/>
  <c r="D24"/>
  <c r="D25"/>
  <c r="D22"/>
  <c r="D21"/>
  <c r="D43" s="1"/>
  <c r="E42" s="1"/>
  <c r="D40" i="83"/>
  <c r="D38"/>
  <c r="D36"/>
  <c r="D42"/>
  <c r="D31"/>
  <c r="D24"/>
  <c r="D25"/>
  <c r="D23"/>
  <c r="D22"/>
  <c r="D21"/>
  <c r="D40" i="95"/>
  <c r="D36"/>
  <c r="D33"/>
  <c r="D31"/>
  <c r="D27"/>
  <c r="D24"/>
  <c r="C7" i="68"/>
  <c r="C8" i="117"/>
  <c r="C7"/>
  <c r="C9" i="126"/>
  <c r="C7"/>
  <c r="C7" i="72"/>
  <c r="C8" i="73"/>
  <c r="C8" i="74"/>
  <c r="C8" i="23"/>
  <c r="C7" i="10"/>
  <c r="C8" i="19"/>
  <c r="C7"/>
  <c r="C8" i="16"/>
  <c r="C7" i="22"/>
  <c r="C8" i="84"/>
  <c r="C8" i="21"/>
  <c r="C7" i="76"/>
  <c r="C8" i="9"/>
  <c r="C8" i="102"/>
  <c r="C7" i="120"/>
  <c r="C7" i="6"/>
  <c r="C8" i="109"/>
  <c r="C8" i="115"/>
  <c r="C8" i="4"/>
  <c r="C8" i="5"/>
  <c r="C8" i="7"/>
  <c r="C7"/>
  <c r="C8" i="8"/>
  <c r="C9" i="18"/>
  <c r="C8" i="81"/>
  <c r="C7" i="87"/>
  <c r="C8" i="88"/>
  <c r="C7" i="90"/>
  <c r="C8" i="91"/>
  <c r="C7" i="92"/>
  <c r="C7" i="94"/>
  <c r="C8" i="83"/>
  <c r="C7"/>
  <c r="C8" i="95"/>
  <c r="C7"/>
  <c r="C9" i="104"/>
  <c r="H78" i="112"/>
  <c r="C4" i="69"/>
  <c r="E5"/>
  <c r="H77" i="112"/>
  <c r="H73"/>
  <c r="E5" i="132"/>
  <c r="H72" i="112"/>
  <c r="C4" i="130"/>
  <c r="H71" i="112"/>
  <c r="E5" i="126"/>
  <c r="H67" i="112"/>
  <c r="C4" i="96"/>
  <c r="H65" i="112"/>
  <c r="E5" i="97"/>
  <c r="H61" i="112"/>
  <c r="C4" i="71"/>
  <c r="H48" i="112"/>
  <c r="H45"/>
  <c r="E5" i="22"/>
  <c r="C4"/>
  <c r="H44" i="112"/>
  <c r="H40"/>
  <c r="C4" i="84"/>
  <c r="H35" i="112"/>
  <c r="E5" i="105"/>
  <c r="H33" i="112"/>
  <c r="H76"/>
  <c r="C4" i="134"/>
  <c r="F5"/>
  <c r="H28" i="112"/>
  <c r="C4" i="133"/>
  <c r="C13"/>
  <c r="C12"/>
  <c r="C11"/>
  <c r="F5"/>
  <c r="H27" i="112"/>
  <c r="C4" i="125"/>
  <c r="H26" i="112"/>
  <c r="C4" i="120"/>
  <c r="H25" i="112"/>
  <c r="C4" i="6"/>
  <c r="E5"/>
  <c r="H24" i="112"/>
  <c r="H23"/>
  <c r="E5" i="109"/>
  <c r="H18" i="112"/>
  <c r="C4" i="128"/>
  <c r="H11" i="112"/>
  <c r="C4" i="87"/>
  <c r="E5"/>
  <c r="H10" i="112"/>
  <c r="H6"/>
  <c r="C4" i="94"/>
  <c r="H4" i="112"/>
  <c r="C4" i="83"/>
  <c r="D41" i="19"/>
  <c r="D39"/>
  <c r="C13" i="18"/>
  <c r="C12"/>
  <c r="C11"/>
  <c r="C13" i="63"/>
  <c r="C12"/>
  <c r="C11"/>
  <c r="C6"/>
  <c r="F5"/>
  <c r="C9"/>
  <c r="C6" i="64"/>
  <c r="C9"/>
  <c r="F5"/>
  <c r="C6" i="67"/>
  <c r="C9"/>
  <c r="F5"/>
  <c r="C11" i="61"/>
  <c r="C6"/>
  <c r="C9"/>
  <c r="F5"/>
  <c r="C11" i="62"/>
  <c r="C6"/>
  <c r="C9"/>
  <c r="F5"/>
  <c r="C6" i="65"/>
  <c r="C9"/>
  <c r="F5"/>
  <c r="C6" i="68"/>
  <c r="C9"/>
  <c r="F5"/>
  <c r="C13" i="69"/>
  <c r="C12"/>
  <c r="C11"/>
  <c r="C14" s="1"/>
  <c r="C6"/>
  <c r="C9"/>
  <c r="F5"/>
  <c r="C13" i="123"/>
  <c r="C12"/>
  <c r="C11"/>
  <c r="C9"/>
  <c r="C6"/>
  <c r="F5"/>
  <c r="C13" i="119"/>
  <c r="C12"/>
  <c r="C11"/>
  <c r="C14" s="1"/>
  <c r="C6"/>
  <c r="F5"/>
  <c r="C13" i="117"/>
  <c r="C12"/>
  <c r="C11"/>
  <c r="C6"/>
  <c r="F5"/>
  <c r="C13" i="132"/>
  <c r="C12"/>
  <c r="C11"/>
  <c r="C6"/>
  <c r="F5"/>
  <c r="C13" i="130"/>
  <c r="C12"/>
  <c r="C11"/>
  <c r="C6"/>
  <c r="F5"/>
  <c r="C6" i="126"/>
  <c r="F5"/>
  <c r="C13" i="129"/>
  <c r="C12"/>
  <c r="C11"/>
  <c r="C6"/>
  <c r="F5"/>
  <c r="C13" i="116"/>
  <c r="C12"/>
  <c r="C11"/>
  <c r="C6"/>
  <c r="F5"/>
  <c r="C9"/>
  <c r="C13" i="82"/>
  <c r="C12"/>
  <c r="C11"/>
  <c r="C6"/>
  <c r="C9"/>
  <c r="F5"/>
  <c r="C11" i="96"/>
  <c r="C6"/>
  <c r="C9"/>
  <c r="F5"/>
  <c r="C13" i="72"/>
  <c r="C12"/>
  <c r="C11"/>
  <c r="C14" s="1"/>
  <c r="C6"/>
  <c r="F5"/>
  <c r="C9"/>
  <c r="C11" i="97"/>
  <c r="C6"/>
  <c r="C9"/>
  <c r="F5"/>
  <c r="C11" i="98"/>
  <c r="C6"/>
  <c r="F5"/>
  <c r="C9"/>
  <c r="C11" i="99"/>
  <c r="C6"/>
  <c r="F5"/>
  <c r="C9"/>
  <c r="C11" i="100"/>
  <c r="C6"/>
  <c r="F5"/>
  <c r="C9"/>
  <c r="C6" i="71"/>
  <c r="F5"/>
  <c r="C9"/>
  <c r="C11" i="73"/>
  <c r="C6"/>
  <c r="F5"/>
  <c r="C9"/>
  <c r="C11" i="74"/>
  <c r="C6"/>
  <c r="F5"/>
  <c r="C9"/>
  <c r="C13" i="131"/>
  <c r="C12"/>
  <c r="C11"/>
  <c r="C6"/>
  <c r="F5"/>
  <c r="C9"/>
  <c r="C11" i="101"/>
  <c r="C6"/>
  <c r="F5"/>
  <c r="C9"/>
  <c r="C13" i="80"/>
  <c r="C12"/>
  <c r="C11"/>
  <c r="C6"/>
  <c r="F5"/>
  <c r="C9"/>
  <c r="C6" i="79"/>
  <c r="C9"/>
  <c r="F5"/>
  <c r="C9" i="23"/>
  <c r="C6"/>
  <c r="F5"/>
  <c r="C11" i="10"/>
  <c r="C6"/>
  <c r="F5"/>
  <c r="C11" i="11"/>
  <c r="C6"/>
  <c r="C9"/>
  <c r="F5"/>
  <c r="C13" i="12"/>
  <c r="C12"/>
  <c r="C11"/>
  <c r="C14" s="1"/>
  <c r="C6"/>
  <c r="F5"/>
  <c r="C9"/>
  <c r="C13" i="13"/>
  <c r="C12"/>
  <c r="C11"/>
  <c r="C6"/>
  <c r="F5"/>
  <c r="C9"/>
  <c r="C11" i="14"/>
  <c r="C6"/>
  <c r="F5"/>
  <c r="C9"/>
  <c r="C6" i="19"/>
  <c r="F5"/>
  <c r="C9"/>
  <c r="C13" i="15"/>
  <c r="C12"/>
  <c r="C11"/>
  <c r="C6"/>
  <c r="F5"/>
  <c r="C9"/>
  <c r="C11" i="16"/>
  <c r="C6"/>
  <c r="F5"/>
  <c r="C9"/>
  <c r="C13" i="22"/>
  <c r="C12"/>
  <c r="C11"/>
  <c r="C6"/>
  <c r="F5"/>
  <c r="C9"/>
  <c r="C11" i="114"/>
  <c r="C8"/>
  <c r="C7"/>
  <c r="C6"/>
  <c r="F5"/>
  <c r="C9"/>
  <c r="C13" i="121"/>
  <c r="C12"/>
  <c r="C11"/>
  <c r="C9"/>
  <c r="C8"/>
  <c r="C7"/>
  <c r="C6"/>
  <c r="F5"/>
  <c r="C11" i="17"/>
  <c r="C6"/>
  <c r="F5"/>
  <c r="C11" i="2"/>
  <c r="C14" s="1"/>
  <c r="C6"/>
  <c r="F5"/>
  <c r="C6" i="84"/>
  <c r="F5"/>
  <c r="E14" i="21"/>
  <c r="C13"/>
  <c r="C12"/>
  <c r="C11"/>
  <c r="C6"/>
  <c r="F5"/>
  <c r="C11" i="76"/>
  <c r="C6"/>
  <c r="F5"/>
  <c r="C6" i="77"/>
  <c r="F5"/>
  <c r="C6" i="9"/>
  <c r="C10" s="1"/>
  <c r="F5"/>
  <c r="C6" i="105"/>
  <c r="F5"/>
  <c r="C6" i="103"/>
  <c r="C6" i="102"/>
  <c r="C6" i="75"/>
  <c r="F5"/>
  <c r="F5" i="102"/>
  <c r="F5" i="103"/>
  <c r="C11" i="104"/>
  <c r="C6"/>
  <c r="C10" s="1"/>
  <c r="F5"/>
  <c r="C11" i="106"/>
  <c r="C6"/>
  <c r="F5"/>
  <c r="C6" i="107"/>
  <c r="F5"/>
  <c r="C13" i="125"/>
  <c r="C12"/>
  <c r="C14" s="1"/>
  <c r="C11"/>
  <c r="C6"/>
  <c r="F5"/>
  <c r="C13" i="120"/>
  <c r="C12"/>
  <c r="C11"/>
  <c r="C6"/>
  <c r="C12" i="6"/>
  <c r="C11"/>
  <c r="C14" s="1"/>
  <c r="C6"/>
  <c r="F5"/>
  <c r="C11" i="108"/>
  <c r="C14" s="1"/>
  <c r="C6"/>
  <c r="F5"/>
  <c r="C12" i="109"/>
  <c r="C11"/>
  <c r="C6"/>
  <c r="F5"/>
  <c r="C13" i="115"/>
  <c r="C12"/>
  <c r="C14" s="1"/>
  <c r="C11"/>
  <c r="C6"/>
  <c r="F5"/>
  <c r="C11" i="4"/>
  <c r="C6"/>
  <c r="C10" s="1"/>
  <c r="F5"/>
  <c r="C6" i="5"/>
  <c r="C11"/>
  <c r="F5"/>
  <c r="C13" i="7"/>
  <c r="C12"/>
  <c r="C11"/>
  <c r="C14" s="1"/>
  <c r="C6"/>
  <c r="C10" s="1"/>
  <c r="F5"/>
  <c r="C12" i="128"/>
  <c r="C11"/>
  <c r="C14" s="1"/>
  <c r="C6"/>
  <c r="F5"/>
  <c r="C11" i="8"/>
  <c r="C6"/>
  <c r="F5"/>
  <c r="C6" i="18"/>
  <c r="F5"/>
  <c r="C11" i="93"/>
  <c r="C14" s="1"/>
  <c r="C6"/>
  <c r="C10" s="1"/>
  <c r="F5"/>
  <c r="E5"/>
  <c r="F5" i="81"/>
  <c r="C6"/>
  <c r="C6" i="86"/>
  <c r="C11" i="89"/>
  <c r="C6"/>
  <c r="C10" s="1"/>
  <c r="C13" i="87"/>
  <c r="C6"/>
  <c r="C11" i="88"/>
  <c r="C6"/>
  <c r="C11" i="90"/>
  <c r="C14" s="1"/>
  <c r="C6"/>
  <c r="C6" i="91"/>
  <c r="C11" i="92"/>
  <c r="C14" s="1"/>
  <c r="C6"/>
  <c r="C10" s="1"/>
  <c r="C11" i="94"/>
  <c r="C6"/>
  <c r="C6" i="83"/>
  <c r="C10" s="1"/>
  <c r="C17" i="20"/>
  <c r="C16"/>
  <c r="C25"/>
  <c r="B15"/>
  <c r="C15"/>
  <c r="B18"/>
  <c r="C28"/>
  <c r="B5" i="3"/>
  <c r="F5" s="1"/>
  <c r="C6"/>
  <c r="G6" s="1"/>
  <c r="C7"/>
  <c r="C8"/>
  <c r="C10" s="1"/>
  <c r="C9"/>
  <c r="C11"/>
  <c r="G11" s="1"/>
  <c r="B13"/>
  <c r="F13" s="1"/>
  <c r="G13"/>
  <c r="B14"/>
  <c r="F14" s="1"/>
  <c r="C14"/>
  <c r="G14" s="1"/>
  <c r="C15"/>
  <c r="B16"/>
  <c r="C16"/>
  <c r="F16"/>
  <c r="B17"/>
  <c r="F17" s="1"/>
  <c r="B18"/>
  <c r="B26"/>
  <c r="C27"/>
  <c r="C31" s="1"/>
  <c r="G10" s="1"/>
  <c r="C28"/>
  <c r="G7" s="1"/>
  <c r="C29"/>
  <c r="C30"/>
  <c r="G9" s="1"/>
  <c r="C32"/>
  <c r="B34"/>
  <c r="B35"/>
  <c r="C35"/>
  <c r="C36"/>
  <c r="C37"/>
  <c r="G16" s="1"/>
  <c r="B38"/>
  <c r="B39"/>
  <c r="C6" i="95"/>
  <c r="B6" i="20" s="1"/>
  <c r="C11" i="95"/>
  <c r="C14" s="1"/>
  <c r="C13"/>
  <c r="C12"/>
  <c r="H5" i="112"/>
  <c r="C12" i="83"/>
  <c r="E14" s="1"/>
  <c r="C13"/>
  <c r="C8" i="94"/>
  <c r="C12"/>
  <c r="C14" s="1"/>
  <c r="C13"/>
  <c r="H7" i="112"/>
  <c r="C12" i="92"/>
  <c r="C13"/>
  <c r="H8" i="112"/>
  <c r="C7" i="91"/>
  <c r="C11"/>
  <c r="C12"/>
  <c r="C14" s="1"/>
  <c r="C13"/>
  <c r="H9" i="112"/>
  <c r="C4" i="90"/>
  <c r="C8"/>
  <c r="C8" i="20" s="1"/>
  <c r="C12" i="90"/>
  <c r="C13"/>
  <c r="C12" i="88"/>
  <c r="C13"/>
  <c r="C14" s="1"/>
  <c r="C8" i="87"/>
  <c r="C11"/>
  <c r="H12" i="112"/>
  <c r="C4" i="89"/>
  <c r="C13"/>
  <c r="H13" i="112"/>
  <c r="C4" i="86"/>
  <c r="C7"/>
  <c r="C10" s="1"/>
  <c r="C12"/>
  <c r="C13"/>
  <c r="H14" i="112"/>
  <c r="E5" i="81"/>
  <c r="C11"/>
  <c r="C12"/>
  <c r="C13"/>
  <c r="C14"/>
  <c r="C7" i="93"/>
  <c r="C12"/>
  <c r="C13"/>
  <c r="E14"/>
  <c r="H16" i="112"/>
  <c r="C4" i="18"/>
  <c r="E14"/>
  <c r="H17" i="112"/>
  <c r="C4" i="8"/>
  <c r="C7"/>
  <c r="C13"/>
  <c r="C8" i="128"/>
  <c r="C10" s="1"/>
  <c r="C13"/>
  <c r="E14"/>
  <c r="H19" i="112"/>
  <c r="E5" i="7"/>
  <c r="E14"/>
  <c r="H20" i="112"/>
  <c r="C4" i="5"/>
  <c r="C7"/>
  <c r="C10" s="1"/>
  <c r="C12"/>
  <c r="C13"/>
  <c r="H21" i="112"/>
  <c r="E5" i="4"/>
  <c r="C7"/>
  <c r="C13"/>
  <c r="C14"/>
  <c r="H22" i="112"/>
  <c r="C4" i="115"/>
  <c r="E14"/>
  <c r="C13" i="109"/>
  <c r="C8" i="108"/>
  <c r="C12"/>
  <c r="C13"/>
  <c r="C13" i="6"/>
  <c r="C8" i="120"/>
  <c r="C10" s="1"/>
  <c r="C8" i="125"/>
  <c r="E14" i="133"/>
  <c r="H29" i="112"/>
  <c r="C4" i="107"/>
  <c r="C8"/>
  <c r="C11"/>
  <c r="C12"/>
  <c r="C14" s="1"/>
  <c r="C13"/>
  <c r="H30" i="112"/>
  <c r="C7" i="106"/>
  <c r="C12"/>
  <c r="C14" s="1"/>
  <c r="C13"/>
  <c r="E14"/>
  <c r="H31" i="112"/>
  <c r="C4" i="104"/>
  <c r="C12"/>
  <c r="C14" s="1"/>
  <c r="C13"/>
  <c r="H32" i="112"/>
  <c r="C4" i="103"/>
  <c r="C8"/>
  <c r="C11"/>
  <c r="C12"/>
  <c r="C13"/>
  <c r="C14" s="1"/>
  <c r="C7" i="102"/>
  <c r="C12"/>
  <c r="C13"/>
  <c r="H34" i="112"/>
  <c r="C4" i="75"/>
  <c r="C7"/>
  <c r="C11"/>
  <c r="C12"/>
  <c r="C13"/>
  <c r="C7" i="105"/>
  <c r="C8"/>
  <c r="C10" s="1"/>
  <c r="C12"/>
  <c r="C13"/>
  <c r="H36" i="112"/>
  <c r="C4" i="9"/>
  <c r="C11"/>
  <c r="C12"/>
  <c r="C13"/>
  <c r="H37" i="112"/>
  <c r="C4" i="77"/>
  <c r="C7"/>
  <c r="C11"/>
  <c r="C12"/>
  <c r="C14" s="1"/>
  <c r="C13"/>
  <c r="H38" i="112"/>
  <c r="C4" i="76"/>
  <c r="C8"/>
  <c r="C12"/>
  <c r="C13"/>
  <c r="H39" i="112"/>
  <c r="C4" i="21"/>
  <c r="C12" i="84"/>
  <c r="C13"/>
  <c r="H41" i="112"/>
  <c r="C4" i="2"/>
  <c r="C8"/>
  <c r="C13"/>
  <c r="H42" i="112"/>
  <c r="C4" i="17"/>
  <c r="C7"/>
  <c r="C8"/>
  <c r="C9"/>
  <c r="C12"/>
  <c r="C14" s="1"/>
  <c r="C13"/>
  <c r="H43" i="112"/>
  <c r="C4" i="121"/>
  <c r="E10"/>
  <c r="E14"/>
  <c r="E10" i="114"/>
  <c r="C12"/>
  <c r="C13"/>
  <c r="C14" s="1"/>
  <c r="C8" i="22"/>
  <c r="E14"/>
  <c r="H46" i="112"/>
  <c r="E5" i="16"/>
  <c r="C12"/>
  <c r="C14" s="1"/>
  <c r="C13"/>
  <c r="H47" i="112"/>
  <c r="E5" i="15"/>
  <c r="C4"/>
  <c r="C8"/>
  <c r="E14"/>
  <c r="C12" i="19"/>
  <c r="C13"/>
  <c r="H49" i="112"/>
  <c r="C4" i="14"/>
  <c r="C8"/>
  <c r="C12"/>
  <c r="C13"/>
  <c r="C14" s="1"/>
  <c r="H50" i="112"/>
  <c r="E5" i="13"/>
  <c r="C8"/>
  <c r="E14"/>
  <c r="H51" i="112"/>
  <c r="C4" i="12"/>
  <c r="C7"/>
  <c r="C8"/>
  <c r="E14"/>
  <c r="H52" i="112"/>
  <c r="C4" i="11"/>
  <c r="C8"/>
  <c r="C10" s="1"/>
  <c r="C12"/>
  <c r="C14" s="1"/>
  <c r="C13"/>
  <c r="H53" i="112"/>
  <c r="E5" i="10"/>
  <c r="C9"/>
  <c r="C10" s="1"/>
  <c r="C12"/>
  <c r="C13"/>
  <c r="H54" i="112"/>
  <c r="C4" i="23"/>
  <c r="C11"/>
  <c r="C14"/>
  <c r="C12"/>
  <c r="C13"/>
  <c r="H55" i="112"/>
  <c r="C4" i="79"/>
  <c r="C8"/>
  <c r="C12"/>
  <c r="C13"/>
  <c r="H56" i="112"/>
  <c r="C4" i="80"/>
  <c r="C8"/>
  <c r="E14"/>
  <c r="H57" i="112"/>
  <c r="C13" i="101"/>
  <c r="H58" i="112"/>
  <c r="C4" i="131"/>
  <c r="C8"/>
  <c r="E14"/>
  <c r="H59" i="112"/>
  <c r="C4" i="74"/>
  <c r="C7"/>
  <c r="C10" s="1"/>
  <c r="C12"/>
  <c r="C13"/>
  <c r="H60" i="112"/>
  <c r="C4" i="73"/>
  <c r="C12"/>
  <c r="C7" i="71"/>
  <c r="C11"/>
  <c r="C14" s="1"/>
  <c r="C12"/>
  <c r="C13"/>
  <c r="H62" i="112"/>
  <c r="C4" i="100"/>
  <c r="C7"/>
  <c r="C12"/>
  <c r="C13"/>
  <c r="C14"/>
  <c r="H63" i="112"/>
  <c r="C4" i="99"/>
  <c r="C7"/>
  <c r="C10" s="1"/>
  <c r="C12"/>
  <c r="C13"/>
  <c r="H64" i="112"/>
  <c r="E5" i="98"/>
  <c r="C7"/>
  <c r="C8"/>
  <c r="C12"/>
  <c r="C14" s="1"/>
  <c r="C13"/>
  <c r="C8" i="97"/>
  <c r="C12"/>
  <c r="C14"/>
  <c r="C13"/>
  <c r="H66" i="112"/>
  <c r="C4" i="72"/>
  <c r="E14"/>
  <c r="C7" i="96"/>
  <c r="C12"/>
  <c r="C13"/>
  <c r="E14"/>
  <c r="H68" i="112"/>
  <c r="C7" i="82"/>
  <c r="C10" s="1"/>
  <c r="E14"/>
  <c r="H69" i="112"/>
  <c r="C4" i="116"/>
  <c r="E14"/>
  <c r="H70" i="112"/>
  <c r="C4" i="129"/>
  <c r="C9"/>
  <c r="E14"/>
  <c r="C8" i="126"/>
  <c r="C10" s="1"/>
  <c r="C11"/>
  <c r="C14" s="1"/>
  <c r="C12"/>
  <c r="C13"/>
  <c r="C8" i="130"/>
  <c r="C9"/>
  <c r="E14"/>
  <c r="C8" i="132"/>
  <c r="E14"/>
  <c r="H74" i="112"/>
  <c r="C4" i="117"/>
  <c r="E14"/>
  <c r="H75" i="112"/>
  <c r="C4" i="119"/>
  <c r="C8"/>
  <c r="C9"/>
  <c r="C7" i="123"/>
  <c r="C10" s="1"/>
  <c r="E14"/>
  <c r="E14" i="69"/>
  <c r="H79" i="112"/>
  <c r="E5" i="68"/>
  <c r="C11"/>
  <c r="C12"/>
  <c r="C13"/>
  <c r="C14" s="1"/>
  <c r="H80" i="112"/>
  <c r="C4" i="65"/>
  <c r="C8"/>
  <c r="C11"/>
  <c r="C14" s="1"/>
  <c r="C12"/>
  <c r="C13"/>
  <c r="H81" i="112"/>
  <c r="E5" i="62"/>
  <c r="C8"/>
  <c r="C12"/>
  <c r="C13"/>
  <c r="H82" i="112"/>
  <c r="E5" i="61"/>
  <c r="C12"/>
  <c r="C13"/>
  <c r="H83" i="112"/>
  <c r="E5" i="67"/>
  <c r="C7"/>
  <c r="C11"/>
  <c r="C12"/>
  <c r="C14" s="1"/>
  <c r="C13"/>
  <c r="C4" i="64"/>
  <c r="C7"/>
  <c r="C11"/>
  <c r="C14" s="1"/>
  <c r="C12"/>
  <c r="C13"/>
  <c r="H84" i="112"/>
  <c r="C4" i="63"/>
  <c r="E14"/>
  <c r="K86" i="112"/>
  <c r="R86"/>
  <c r="B12" i="3"/>
  <c r="F12" s="1"/>
  <c r="C24" i="20"/>
  <c r="C27"/>
  <c r="C26"/>
  <c r="C23"/>
  <c r="C21"/>
  <c r="C29"/>
  <c r="B19"/>
  <c r="E14" i="64"/>
  <c r="E14" i="68"/>
  <c r="E14" i="10"/>
  <c r="C11" i="19"/>
  <c r="C14" s="1"/>
  <c r="C13" i="3" s="1"/>
  <c r="E14" i="19"/>
  <c r="C11" i="102"/>
  <c r="C14" s="1"/>
  <c r="E14"/>
  <c r="C12" i="87"/>
  <c r="C14" s="1"/>
  <c r="C11" i="83"/>
  <c r="C12" i="101"/>
  <c r="C11" i="79"/>
  <c r="C14" s="1"/>
  <c r="E14"/>
  <c r="C11" i="105"/>
  <c r="C14"/>
  <c r="C12" i="89"/>
  <c r="C14" s="1"/>
  <c r="E14"/>
  <c r="Q86" i="112"/>
  <c r="E14" i="99"/>
  <c r="C12" i="2"/>
  <c r="E14"/>
  <c r="C11" i="84"/>
  <c r="C14" s="1"/>
  <c r="E14" i="103"/>
  <c r="C12" i="4"/>
  <c r="B33" i="3"/>
  <c r="C11" i="86"/>
  <c r="C14" s="1"/>
  <c r="E14"/>
  <c r="E14" i="61"/>
  <c r="E14" i="62"/>
  <c r="E14" i="65"/>
  <c r="E14" i="23"/>
  <c r="E14" i="6"/>
  <c r="E14" i="108"/>
  <c r="E14" i="109"/>
  <c r="E14" i="5"/>
  <c r="E14" i="88"/>
  <c r="E14" i="90"/>
  <c r="E14" i="91"/>
  <c r="C12" i="8"/>
  <c r="C10" i="114"/>
  <c r="C14" i="82"/>
  <c r="C14" i="18"/>
  <c r="C14" i="22"/>
  <c r="C14" i="116"/>
  <c r="C9" i="88"/>
  <c r="C14" i="132"/>
  <c r="C14" i="63"/>
  <c r="C7" i="84"/>
  <c r="C7" i="23"/>
  <c r="C7" i="14"/>
  <c r="C8" i="106"/>
  <c r="C7" i="88"/>
  <c r="C7" i="20" s="1"/>
  <c r="C11" s="1"/>
  <c r="C7" i="129"/>
  <c r="C10" s="1"/>
  <c r="C8" i="92"/>
  <c r="C9" i="2"/>
  <c r="C10"/>
  <c r="C9" i="75"/>
  <c r="C9" i="108"/>
  <c r="C9" i="106"/>
  <c r="C9" i="21"/>
  <c r="C9" i="4"/>
  <c r="C9" i="128"/>
  <c r="C9" i="5"/>
  <c r="B28" i="3"/>
  <c r="B29"/>
  <c r="C8" i="61"/>
  <c r="C7" i="116"/>
  <c r="C7" i="119"/>
  <c r="C7" i="97"/>
  <c r="C10" s="1"/>
  <c r="C7" i="101"/>
  <c r="C10" s="1"/>
  <c r="C8" i="67"/>
  <c r="C8" i="72"/>
  <c r="C7" i="69"/>
  <c r="C10" s="1"/>
  <c r="C8" i="96"/>
  <c r="C8" i="69"/>
  <c r="B30" i="3"/>
  <c r="E10" i="131"/>
  <c r="C14" i="80"/>
  <c r="C7" i="61"/>
  <c r="C7" i="63"/>
  <c r="C10" s="1"/>
  <c r="E14" i="125"/>
  <c r="D37" i="19"/>
  <c r="C7" i="18"/>
  <c r="C10" s="1"/>
  <c r="C7" i="125"/>
  <c r="C7" i="107"/>
  <c r="C10" s="1"/>
  <c r="C7" i="104"/>
  <c r="C8" i="89"/>
  <c r="C9" i="83"/>
  <c r="C9" i="89"/>
  <c r="C9" i="86"/>
  <c r="C9" i="93"/>
  <c r="C9" i="120"/>
  <c r="C9" i="90"/>
  <c r="C9" i="94"/>
  <c r="C10" s="1"/>
  <c r="C9" i="95"/>
  <c r="B10" i="20" s="1"/>
  <c r="C9" i="8"/>
  <c r="C9" i="9"/>
  <c r="C9" i="115"/>
  <c r="C10"/>
  <c r="C7" i="108"/>
  <c r="C8" i="6"/>
  <c r="C7" i="9"/>
  <c r="C9" i="92"/>
  <c r="C9" i="125"/>
  <c r="C10" s="1"/>
  <c r="C9" i="103"/>
  <c r="C9" i="84"/>
  <c r="C10" s="1"/>
  <c r="C9" i="105"/>
  <c r="C9" i="7"/>
  <c r="C9" i="91"/>
  <c r="C10" s="1"/>
  <c r="C9" i="102"/>
  <c r="C10" s="1"/>
  <c r="C9" i="76"/>
  <c r="C10"/>
  <c r="C9" i="6"/>
  <c r="C10" s="1"/>
  <c r="C9" i="81"/>
  <c r="C9" i="77"/>
  <c r="C9" i="109"/>
  <c r="C9" i="87"/>
  <c r="C9" i="107"/>
  <c r="C8" i="93"/>
  <c r="C7" i="128"/>
  <c r="C7" i="109"/>
  <c r="C7" i="103"/>
  <c r="C7" i="2"/>
  <c r="C7" i="89"/>
  <c r="D19" i="8"/>
  <c r="D43" s="1"/>
  <c r="E42" s="1"/>
  <c r="D40" i="90"/>
  <c r="D33"/>
  <c r="D19" i="81"/>
  <c r="D23" i="93"/>
  <c r="D23" i="92"/>
  <c r="D43" s="1"/>
  <c r="E42" s="1"/>
  <c r="D21" i="87"/>
  <c r="D33" i="83"/>
  <c r="C14" i="121"/>
  <c r="C14" i="129"/>
  <c r="C14" i="74"/>
  <c r="D22" i="7"/>
  <c r="D21" i="107"/>
  <c r="D23" i="106"/>
  <c r="D23" i="104"/>
  <c r="D23" i="80"/>
  <c r="D23" i="74"/>
  <c r="D23" i="73"/>
  <c r="D23" i="100"/>
  <c r="D23" i="117"/>
  <c r="D23" i="119"/>
  <c r="D23" i="134"/>
  <c r="D23" i="69"/>
  <c r="D22" i="88"/>
  <c r="D23" i="17"/>
  <c r="D43" s="1"/>
  <c r="E42" s="1"/>
  <c r="D23" i="99"/>
  <c r="D44" s="1"/>
  <c r="E43" s="1"/>
  <c r="D23" i="8"/>
  <c r="E5" i="130"/>
  <c r="D23" i="82"/>
  <c r="D23" i="130"/>
  <c r="D44" s="1"/>
  <c r="E43" s="1"/>
  <c r="D23" i="65"/>
  <c r="D23" i="64"/>
  <c r="C4" i="102"/>
  <c r="E5"/>
  <c r="D22" i="87"/>
  <c r="D40"/>
  <c r="D42" i="108"/>
  <c r="D34" i="120"/>
  <c r="D22" i="71"/>
  <c r="D43" s="1"/>
  <c r="E42" s="1"/>
  <c r="D31" i="96"/>
  <c r="D27" i="129"/>
  <c r="D21" i="126"/>
  <c r="D39" i="119"/>
  <c r="D42" i="93"/>
  <c r="D21" i="108"/>
  <c r="D43" s="1"/>
  <c r="E42" s="1"/>
  <c r="D40" i="121"/>
  <c r="D36" i="13"/>
  <c r="D19" i="12"/>
  <c r="D43" s="1"/>
  <c r="E42" s="1"/>
  <c r="D38" i="10"/>
  <c r="D19" i="23"/>
  <c r="D27" i="79"/>
  <c r="D22" i="73"/>
  <c r="C4" i="114"/>
  <c r="E5"/>
  <c r="C4" i="132"/>
  <c r="D19" i="95"/>
  <c r="D36" i="89"/>
  <c r="D21" i="6"/>
  <c r="D33" i="125"/>
  <c r="D43" s="1"/>
  <c r="E42" s="1"/>
  <c r="D22" i="21"/>
  <c r="D43" s="1"/>
  <c r="E43" s="1"/>
  <c r="D21" i="18"/>
  <c r="D42" i="109"/>
  <c r="D21" i="120"/>
  <c r="D23" i="11"/>
  <c r="D23" i="2"/>
  <c r="D33" i="79"/>
  <c r="D23" i="10"/>
  <c r="D43" s="1"/>
  <c r="E42" s="1"/>
  <c r="D21" i="119"/>
  <c r="D44" s="1"/>
  <c r="E43" s="1"/>
  <c r="D33" i="123"/>
  <c r="C7" i="133"/>
  <c r="C7" i="79"/>
  <c r="E5" i="117"/>
  <c r="D40" i="91"/>
  <c r="D19" i="83"/>
  <c r="D43" s="1"/>
  <c r="E42" s="1"/>
  <c r="D25" i="88"/>
  <c r="D33" i="7"/>
  <c r="E5" i="72"/>
  <c r="E5" i="88"/>
  <c r="C4"/>
  <c r="D23" i="18"/>
  <c r="C4" i="108"/>
  <c r="E5"/>
  <c r="C4" i="123"/>
  <c r="E5"/>
  <c r="D27" i="83"/>
  <c r="D23" i="94"/>
  <c r="D42"/>
  <c r="D25" i="81"/>
  <c r="D43" s="1"/>
  <c r="E42" s="1"/>
  <c r="D38"/>
  <c r="D21" i="115"/>
  <c r="D42"/>
  <c r="D40" i="108"/>
  <c r="D36" i="133"/>
  <c r="D23" i="107"/>
  <c r="D31" i="104"/>
  <c r="D23" i="89"/>
  <c r="D23" i="128"/>
  <c r="D23" i="68"/>
  <c r="D33" i="77"/>
  <c r="D33" i="10"/>
  <c r="D33" i="96"/>
  <c r="D33" i="2"/>
  <c r="D33" i="87"/>
  <c r="D33" i="73"/>
  <c r="D43"/>
  <c r="E42" s="1"/>
  <c r="D33" i="100"/>
  <c r="D33" i="94"/>
  <c r="E5" i="84"/>
  <c r="D33" i="65"/>
  <c r="O62" i="112"/>
  <c r="E10" i="100"/>
  <c r="T37" i="112"/>
  <c r="E14" i="77"/>
  <c r="O34" i="112"/>
  <c r="E10" i="75"/>
  <c r="AH33" i="112"/>
  <c r="AO33"/>
  <c r="AP33"/>
  <c r="O32"/>
  <c r="E10" i="103"/>
  <c r="T31" i="112"/>
  <c r="E14" i="104"/>
  <c r="AN60" i="112"/>
  <c r="T62"/>
  <c r="E14" i="100"/>
  <c r="AH52" i="112"/>
  <c r="AO52"/>
  <c r="AP52"/>
  <c r="T49"/>
  <c r="E14" i="14"/>
  <c r="T42" i="112"/>
  <c r="E14" i="17"/>
  <c r="T40" i="112"/>
  <c r="E14" i="84"/>
  <c r="AN38" i="112"/>
  <c r="T35"/>
  <c r="E14" i="105"/>
  <c r="AN32" i="112"/>
  <c r="T57"/>
  <c r="E14" i="101"/>
  <c r="T46" i="112"/>
  <c r="E14" i="16"/>
  <c r="T44" i="112"/>
  <c r="E14" i="114"/>
  <c r="O31" i="112"/>
  <c r="E10" i="104"/>
  <c r="AH30" i="112"/>
  <c r="O29"/>
  <c r="E10" i="107"/>
  <c r="E5" i="80"/>
  <c r="O40" i="112"/>
  <c r="E10" i="84"/>
  <c r="AN5" i="112"/>
  <c r="O5"/>
  <c r="E5" i="131"/>
  <c r="E5" i="14"/>
  <c r="O61" i="112"/>
  <c r="E10" i="71"/>
  <c r="O56" i="112"/>
  <c r="E10" i="80"/>
  <c r="O52" i="112"/>
  <c r="E10" i="11"/>
  <c r="O24" i="112"/>
  <c r="E10" i="108"/>
  <c r="O17" i="112"/>
  <c r="E10" i="8"/>
  <c r="AN15" i="112"/>
  <c r="AN84"/>
  <c r="O57"/>
  <c r="E10" i="101"/>
  <c r="O49" i="112"/>
  <c r="E10" i="14"/>
  <c r="O47" i="112"/>
  <c r="E10" i="15"/>
  <c r="O35" i="112"/>
  <c r="E10" i="105"/>
  <c r="O27" i="112"/>
  <c r="E10" i="125"/>
  <c r="O23" i="112"/>
  <c r="E10" i="109"/>
  <c r="AH10" i="112"/>
  <c r="D36" i="67"/>
  <c r="AH84" i="112"/>
  <c r="AO84"/>
  <c r="AP84"/>
  <c r="AN82"/>
  <c r="O75"/>
  <c r="E10" i="134"/>
  <c r="AN69" i="112"/>
  <c r="O69"/>
  <c r="E10" i="116"/>
  <c r="O64" i="112"/>
  <c r="E10" i="98"/>
  <c r="O45" i="112"/>
  <c r="E10" i="22"/>
  <c r="C10" i="79"/>
  <c r="AH81" i="112"/>
  <c r="O73"/>
  <c r="E10" i="132"/>
  <c r="AN68" i="112"/>
  <c r="AH66"/>
  <c r="AH48"/>
  <c r="AN33"/>
  <c r="AH27"/>
  <c r="AO27"/>
  <c r="AP27"/>
  <c r="O16"/>
  <c r="E10" i="18"/>
  <c r="AN12" i="112"/>
  <c r="AN7"/>
  <c r="AH6"/>
  <c r="AO6"/>
  <c r="AP6"/>
  <c r="B8" i="3"/>
  <c r="F8"/>
  <c r="E10" i="67"/>
  <c r="AN81" i="112"/>
  <c r="AN77"/>
  <c r="AH77"/>
  <c r="AO77"/>
  <c r="AP77"/>
  <c r="O77"/>
  <c r="E10" i="123"/>
  <c r="AN64" i="112"/>
  <c r="AN62"/>
  <c r="AN59"/>
  <c r="O53"/>
  <c r="E10" i="10"/>
  <c r="AN52" i="112"/>
  <c r="AH50"/>
  <c r="AN49"/>
  <c r="AN31"/>
  <c r="AN25"/>
  <c r="AH22"/>
  <c r="O20"/>
  <c r="E10" i="5"/>
  <c r="AN11" i="112"/>
  <c r="AN8"/>
  <c r="E5" i="64"/>
  <c r="E5" i="65"/>
  <c r="E5" i="96"/>
  <c r="E5" i="23"/>
  <c r="E5" i="11"/>
  <c r="E5" i="107"/>
  <c r="E5" i="86"/>
  <c r="E5" i="90"/>
  <c r="AH83" i="112"/>
  <c r="AH75"/>
  <c r="AN50"/>
  <c r="AH28"/>
  <c r="AN26"/>
  <c r="AH23"/>
  <c r="AO23"/>
  <c r="AP23"/>
  <c r="AH17"/>
  <c r="AN16"/>
  <c r="AH13"/>
  <c r="AH11"/>
  <c r="AO11"/>
  <c r="AP11"/>
  <c r="AH7"/>
  <c r="E5" i="99"/>
  <c r="C10" i="100"/>
  <c r="E5" i="74"/>
  <c r="E5" i="21"/>
  <c r="E5" i="77"/>
  <c r="E5" i="104"/>
  <c r="O82" i="112"/>
  <c r="E10" i="61"/>
  <c r="AN80" i="112"/>
  <c r="O76"/>
  <c r="O66"/>
  <c r="E10" i="72"/>
  <c r="AH60" i="112"/>
  <c r="O46"/>
  <c r="E10" i="16"/>
  <c r="O42" i="112"/>
  <c r="E10" i="17"/>
  <c r="AH32" i="112"/>
  <c r="AO32"/>
  <c r="AP32"/>
  <c r="O30"/>
  <c r="E10" i="106"/>
  <c r="O26" i="112"/>
  <c r="O21"/>
  <c r="E10" i="4"/>
  <c r="O15" i="112"/>
  <c r="E10" i="93"/>
  <c r="AH14" i="112"/>
  <c r="AO14"/>
  <c r="AP14"/>
  <c r="O12"/>
  <c r="E10" i="89"/>
  <c r="AH4" i="112"/>
  <c r="E5" i="82"/>
  <c r="E5" i="100"/>
  <c r="E5" i="12"/>
  <c r="E5" i="121"/>
  <c r="E5" i="17"/>
  <c r="E5" i="2"/>
  <c r="E5" i="9"/>
  <c r="E5" i="103"/>
  <c r="E5" i="5"/>
  <c r="E5" i="8"/>
  <c r="E5" i="18"/>
  <c r="E5" i="89"/>
  <c r="C4" i="10"/>
  <c r="C4" i="67"/>
  <c r="D33" i="64"/>
  <c r="D43"/>
  <c r="E42" s="1"/>
  <c r="AN76" i="112"/>
  <c r="AH73"/>
  <c r="C4" i="7"/>
  <c r="C4" i="4"/>
  <c r="C4" i="98"/>
  <c r="C4" i="62"/>
  <c r="D33" i="68"/>
  <c r="AN79" i="112"/>
  <c r="C4" i="68"/>
  <c r="AH82" i="112"/>
  <c r="AO82"/>
  <c r="AP82"/>
  <c r="AH78"/>
  <c r="AN75"/>
  <c r="AO75"/>
  <c r="AP75"/>
  <c r="AH74"/>
  <c r="AO74"/>
  <c r="AP74"/>
  <c r="E5" i="63"/>
  <c r="E5" i="129"/>
  <c r="E5" i="116"/>
  <c r="E5" i="73"/>
  <c r="E5" i="79"/>
  <c r="E5" i="76"/>
  <c r="E5" i="115"/>
  <c r="AN74" i="112"/>
  <c r="O71"/>
  <c r="E10" i="126"/>
  <c r="E10" i="133"/>
  <c r="C4" i="16"/>
  <c r="AN78" i="112"/>
  <c r="O80"/>
  <c r="E10" i="65"/>
  <c r="C7"/>
  <c r="C10" s="1"/>
  <c r="O72" i="112"/>
  <c r="E10" i="130"/>
  <c r="C7"/>
  <c r="C10" s="1"/>
  <c r="N86" i="112"/>
  <c r="B9" i="3"/>
  <c r="F9" s="1"/>
  <c r="O8" i="112"/>
  <c r="E10" i="91"/>
  <c r="L86" i="112"/>
  <c r="B7" i="3"/>
  <c r="F7" s="1"/>
  <c r="O79" i="112"/>
  <c r="E10" i="68"/>
  <c r="C9" i="117"/>
  <c r="C9" i="132"/>
  <c r="O11" i="112"/>
  <c r="E10" i="87"/>
  <c r="C10" i="16"/>
  <c r="O84" i="112"/>
  <c r="E10" i="63"/>
  <c r="E10" i="64"/>
  <c r="O63" i="112"/>
  <c r="E10" i="99"/>
  <c r="C8" i="77"/>
  <c r="C10" s="1"/>
  <c r="O37" i="112"/>
  <c r="E10" i="77"/>
  <c r="O28" i="112"/>
  <c r="C7" i="81"/>
  <c r="C10" s="1"/>
  <c r="O14" i="112"/>
  <c r="E10" i="81"/>
  <c r="O13" i="112"/>
  <c r="E10" i="86"/>
  <c r="C8"/>
  <c r="C10" i="64"/>
  <c r="O81" i="112"/>
  <c r="E10" i="62"/>
  <c r="C7"/>
  <c r="C10" s="1"/>
  <c r="E10" i="73"/>
  <c r="C7"/>
  <c r="C10" s="1"/>
  <c r="O50" i="112"/>
  <c r="E10" i="13"/>
  <c r="C7"/>
  <c r="C10" s="1"/>
  <c r="C7" i="115"/>
  <c r="O22" i="112"/>
  <c r="E10" i="115"/>
  <c r="O19" i="112"/>
  <c r="E10" i="7"/>
  <c r="C7" i="21"/>
  <c r="C10" s="1"/>
  <c r="C10" i="106"/>
  <c r="C14" i="21"/>
  <c r="C14" i="13"/>
  <c r="C4" i="91"/>
  <c r="E5"/>
  <c r="C4" i="92"/>
  <c r="E4"/>
  <c r="C14" i="76"/>
  <c r="E5" i="134"/>
  <c r="C4" i="106"/>
  <c r="E5"/>
  <c r="E5" i="119"/>
  <c r="C4" i="13"/>
  <c r="C10" i="17"/>
  <c r="E5" i="75"/>
  <c r="C4" i="61"/>
  <c r="H86" i="112"/>
  <c r="C4" i="101"/>
  <c r="E5"/>
  <c r="C14" i="120"/>
  <c r="C14" i="99"/>
  <c r="C14" i="101"/>
  <c r="C14" i="62"/>
  <c r="C14" i="75"/>
  <c r="D23" i="123"/>
  <c r="D43" s="1"/>
  <c r="O54" i="112"/>
  <c r="E10" i="23"/>
  <c r="C10" i="133"/>
  <c r="C10" i="61"/>
  <c r="C10" i="14"/>
  <c r="C14" i="8"/>
  <c r="C14" i="83"/>
  <c r="B14" i="20" s="1"/>
  <c r="C14" i="61"/>
  <c r="C14" i="10"/>
  <c r="C14" i="9"/>
  <c r="C14" i="109"/>
  <c r="C10" i="90"/>
  <c r="C10" i="87"/>
  <c r="B8" i="20"/>
  <c r="C10" i="22"/>
  <c r="C14" i="15"/>
  <c r="C10" i="98"/>
  <c r="C14" i="117"/>
  <c r="O65" i="112"/>
  <c r="E10" i="97"/>
  <c r="O36" i="112"/>
  <c r="E10" i="9"/>
  <c r="O10" i="112"/>
  <c r="E10" i="88"/>
  <c r="D23" i="63"/>
  <c r="O67" i="112"/>
  <c r="E10" i="96"/>
  <c r="O59" i="112"/>
  <c r="E10" i="74"/>
  <c r="AF86" i="112"/>
  <c r="O33"/>
  <c r="E10" i="102"/>
  <c r="C10" i="8"/>
  <c r="B32" i="3"/>
  <c r="B9" i="20"/>
  <c r="C10" i="88"/>
  <c r="C4" i="82"/>
  <c r="D23" i="67"/>
  <c r="D42" i="5"/>
  <c r="C10" i="108"/>
  <c r="C4" i="19"/>
  <c r="E5"/>
  <c r="B13" i="20"/>
  <c r="C10" i="71"/>
  <c r="C14" i="131"/>
  <c r="T75" i="112"/>
  <c r="F18" i="3"/>
  <c r="C14" i="5"/>
  <c r="C14" i="130"/>
  <c r="C14" i="133"/>
  <c r="T83" i="112"/>
  <c r="E14" i="67"/>
  <c r="T64" i="112"/>
  <c r="E14" i="98"/>
  <c r="T59" i="112"/>
  <c r="E14" i="74"/>
  <c r="T38" i="112"/>
  <c r="E14" i="76"/>
  <c r="T36" i="112"/>
  <c r="E14" i="9"/>
  <c r="T11" i="112"/>
  <c r="E14" i="87"/>
  <c r="T4" i="112"/>
  <c r="C10" i="116"/>
  <c r="C14" i="96"/>
  <c r="C10" i="12"/>
  <c r="C14" i="123"/>
  <c r="D23" i="97"/>
  <c r="T52" i="112"/>
  <c r="E14" i="11"/>
  <c r="T29" i="112"/>
  <c r="E14" i="107"/>
  <c r="T21" i="112"/>
  <c r="E14" i="4"/>
  <c r="T17" i="112"/>
  <c r="E14" i="8"/>
  <c r="T14" i="112"/>
  <c r="E14" i="81"/>
  <c r="T7" i="112"/>
  <c r="E14" i="92"/>
  <c r="O4" i="112"/>
  <c r="O86"/>
  <c r="E10" i="119"/>
  <c r="C10" i="103"/>
  <c r="C4" i="81"/>
  <c r="C10" i="109"/>
  <c r="C10" i="96"/>
  <c r="G15" i="3"/>
  <c r="C10" i="68"/>
  <c r="C10" i="119"/>
  <c r="C10" i="75"/>
  <c r="C10" i="19"/>
  <c r="C10" i="117"/>
  <c r="C10" i="67"/>
  <c r="C10" i="134"/>
  <c r="C10" i="132"/>
  <c r="C10" i="72"/>
  <c r="C10" i="80"/>
  <c r="C10" i="23"/>
  <c r="C10" i="15"/>
  <c r="C10" i="121"/>
  <c r="E14" i="134"/>
  <c r="E14" i="119"/>
  <c r="E10" i="92"/>
  <c r="T60" i="112"/>
  <c r="E14" i="73"/>
  <c r="AQ60" i="112"/>
  <c r="C14" i="73"/>
  <c r="S86" i="112"/>
  <c r="AN41"/>
  <c r="AN44"/>
  <c r="D22" i="96"/>
  <c r="D43" s="1"/>
  <c r="E42" s="1"/>
  <c r="D22" i="97"/>
  <c r="D39" i="99"/>
  <c r="AN63" i="112"/>
  <c r="D32" i="99"/>
  <c r="AH63" i="112"/>
  <c r="AO63"/>
  <c r="AP63"/>
  <c r="D36" i="23"/>
  <c r="D21"/>
  <c r="D43" s="1"/>
  <c r="E42" s="1"/>
  <c r="D40" i="10"/>
  <c r="D25"/>
  <c r="D19" i="15"/>
  <c r="D43" s="1"/>
  <c r="E42" s="1"/>
  <c r="D42" i="16"/>
  <c r="D19"/>
  <c r="D43" s="1"/>
  <c r="E42" s="1"/>
  <c r="D36" i="22"/>
  <c r="AN45" i="112"/>
  <c r="D21" i="114"/>
  <c r="D43" s="1"/>
  <c r="E42" s="1"/>
  <c r="D42" i="121"/>
  <c r="D33"/>
  <c r="D42" i="17"/>
  <c r="AH42" i="112"/>
  <c r="AO42"/>
  <c r="AP42"/>
  <c r="D19" i="2"/>
  <c r="D43" s="1"/>
  <c r="E42" s="1"/>
  <c r="D42" i="84"/>
  <c r="D19"/>
  <c r="D43" s="1"/>
  <c r="E42" s="1"/>
  <c r="D36" i="21"/>
  <c r="D27"/>
  <c r="AI34" i="112"/>
  <c r="D35" i="75"/>
  <c r="AH39" i="112"/>
  <c r="C14" i="134"/>
  <c r="T86" i="112"/>
  <c r="D23" i="96"/>
  <c r="D23" i="121"/>
  <c r="D23" i="102"/>
  <c r="D23" i="22"/>
  <c r="D40" i="96"/>
  <c r="D23" i="101"/>
  <c r="D43" s="1"/>
  <c r="E42" s="1"/>
  <c r="D23" i="12"/>
  <c r="D23" i="103"/>
  <c r="D40" i="82"/>
  <c r="AO78" i="112"/>
  <c r="AP78"/>
  <c r="D23" i="98"/>
  <c r="D23" i="126"/>
  <c r="D23" i="72"/>
  <c r="D23" i="129"/>
  <c r="AA86" i="112"/>
  <c r="AD86"/>
  <c r="D19" i="17"/>
  <c r="AH65" i="112"/>
  <c r="AH71"/>
  <c r="AN24"/>
  <c r="AH24"/>
  <c r="AH57"/>
  <c r="AN19"/>
  <c r="AN47"/>
  <c r="D42" i="4"/>
  <c r="D40" i="77"/>
  <c r="D26" i="6"/>
  <c r="D43" s="1"/>
  <c r="E42" s="1"/>
  <c r="AE86" i="112"/>
  <c r="AN42"/>
  <c r="AN46"/>
  <c r="AH56"/>
  <c r="AH69"/>
  <c r="AO69"/>
  <c r="AP69"/>
  <c r="AH36"/>
  <c r="D23" i="7"/>
  <c r="D21" i="98"/>
  <c r="D43" s="1"/>
  <c r="E42" s="1"/>
  <c r="D39" i="131"/>
  <c r="D42" i="12"/>
  <c r="AN51" i="112"/>
  <c r="U86"/>
  <c r="V86"/>
  <c r="AN20"/>
  <c r="AH21"/>
  <c r="AO21"/>
  <c r="AP21"/>
  <c r="AH72"/>
  <c r="AO72"/>
  <c r="AP72"/>
  <c r="AN22"/>
  <c r="D36" i="97"/>
  <c r="AN65" i="112"/>
  <c r="D22" i="77"/>
  <c r="AH37" i="112"/>
  <c r="AH35"/>
  <c r="D22" i="93"/>
  <c r="AH15" i="112"/>
  <c r="AO15"/>
  <c r="AP15"/>
  <c r="D23" i="87"/>
  <c r="D43" s="1"/>
  <c r="E42" s="1"/>
  <c r="D23" i="19"/>
  <c r="D44" s="1"/>
  <c r="E43" s="1"/>
  <c r="D23" i="131"/>
  <c r="D23" i="23"/>
  <c r="D23" i="105"/>
  <c r="AO60" i="112"/>
  <c r="AP60"/>
  <c r="AO50"/>
  <c r="AP50"/>
  <c r="E5" i="71"/>
  <c r="D23" i="114"/>
  <c r="AH40" i="112"/>
  <c r="D23" i="14"/>
  <c r="D21" i="129"/>
  <c r="D44" s="1"/>
  <c r="E43" s="1"/>
  <c r="AH68" i="112"/>
  <c r="AO68"/>
  <c r="AP68"/>
  <c r="AN34"/>
  <c r="AH46"/>
  <c r="AO46"/>
  <c r="AP46"/>
  <c r="D21" i="2"/>
  <c r="D36" i="81"/>
  <c r="AN14" i="112"/>
  <c r="AN72"/>
  <c r="D42" i="10"/>
  <c r="AH26" i="112"/>
  <c r="AO26"/>
  <c r="AP26"/>
  <c r="D26" i="83"/>
  <c r="AH5" i="112"/>
  <c r="AO5"/>
  <c r="AP5"/>
  <c r="D23" i="109"/>
  <c r="AN6" i="112"/>
  <c r="B11" i="3"/>
  <c r="F11" s="1"/>
  <c r="AO7" i="112"/>
  <c r="AP7"/>
  <c r="AO22"/>
  <c r="AP22"/>
  <c r="E5" i="125"/>
  <c r="C4" i="109"/>
  <c r="C4" i="126"/>
  <c r="D23" i="61"/>
  <c r="D23" i="71"/>
  <c r="D23" i="75"/>
  <c r="D23" i="91"/>
  <c r="AO65" i="112"/>
  <c r="AP65"/>
  <c r="E5" i="133"/>
  <c r="C4" i="95"/>
  <c r="D23" i="116"/>
  <c r="D43" s="1"/>
  <c r="E42" s="1"/>
  <c r="AO81" i="112"/>
  <c r="AP81"/>
  <c r="D23" i="115"/>
  <c r="D23" i="13"/>
  <c r="D23" i="79"/>
  <c r="D43" s="1"/>
  <c r="E42" s="1"/>
  <c r="D23" i="76"/>
  <c r="D43" i="63"/>
  <c r="E42"/>
  <c r="C9" i="20"/>
  <c r="D43" i="69"/>
  <c r="E42" s="1"/>
  <c r="E5" i="128"/>
  <c r="C4" i="105"/>
  <c r="AO24" i="112"/>
  <c r="AP24"/>
  <c r="AN37"/>
  <c r="AO37"/>
  <c r="AP37"/>
  <c r="AN21"/>
  <c r="D44" i="126"/>
  <c r="E43" s="1"/>
  <c r="D23" i="77"/>
  <c r="D43" s="1"/>
  <c r="E42" s="1"/>
  <c r="D23" i="9"/>
  <c r="D23" i="108"/>
  <c r="D23" i="5"/>
  <c r="AN9" i="112"/>
  <c r="AN53"/>
  <c r="X86"/>
  <c r="AH25"/>
  <c r="AO25"/>
  <c r="AP25"/>
  <c r="AO4"/>
  <c r="D43" i="105"/>
  <c r="E42" s="1"/>
  <c r="AO61" i="112"/>
  <c r="AP61"/>
  <c r="AO40"/>
  <c r="AP40"/>
  <c r="D43" i="80"/>
  <c r="E42" s="1"/>
  <c r="AO67" i="112"/>
  <c r="AP67"/>
  <c r="D44" i="131"/>
  <c r="E43" s="1"/>
  <c r="D43" i="133"/>
  <c r="E42"/>
  <c r="AO29" i="112"/>
  <c r="AP29"/>
  <c r="AO55"/>
  <c r="AP55"/>
  <c r="AH41"/>
  <c r="AO41"/>
  <c r="AP41"/>
  <c r="AL86"/>
  <c r="AN13"/>
  <c r="AO13"/>
  <c r="AP13"/>
  <c r="AN56"/>
  <c r="AO56"/>
  <c r="AP56"/>
  <c r="AN83"/>
  <c r="AO83"/>
  <c r="AP83"/>
  <c r="D35" i="121"/>
  <c r="D24" i="74"/>
  <c r="D43"/>
  <c r="E42" s="1"/>
  <c r="D24" i="65"/>
  <c r="D43" s="1"/>
  <c r="E42" s="1"/>
  <c r="D32" i="121"/>
  <c r="D45" s="1"/>
  <c r="E44" s="1"/>
  <c r="D25" i="128"/>
  <c r="D24" i="89"/>
  <c r="D43"/>
  <c r="E42" s="1"/>
  <c r="D24" i="104"/>
  <c r="D44" s="1"/>
  <c r="E43" s="1"/>
  <c r="D24" i="14"/>
  <c r="D43" s="1"/>
  <c r="E42" s="1"/>
  <c r="D33" i="9"/>
  <c r="D43" s="1"/>
  <c r="E42" s="1"/>
  <c r="AN48" i="112"/>
  <c r="AO48"/>
  <c r="AP48"/>
  <c r="AN58"/>
  <c r="AH64"/>
  <c r="AO64"/>
  <c r="AP64"/>
  <c r="AH58"/>
  <c r="AM86"/>
  <c r="AN55"/>
  <c r="D33" i="107"/>
  <c r="AH47" i="112"/>
  <c r="AO47"/>
  <c r="AP47"/>
  <c r="AN54"/>
  <c r="AH8"/>
  <c r="AO8"/>
  <c r="AP8"/>
  <c r="AH18"/>
  <c r="AN4"/>
  <c r="AN17"/>
  <c r="AO17"/>
  <c r="AP17"/>
  <c r="AH76"/>
  <c r="AO76"/>
  <c r="AP76"/>
  <c r="AN35"/>
  <c r="AO35"/>
  <c r="AP35"/>
  <c r="AN28"/>
  <c r="AO28"/>
  <c r="AP28"/>
  <c r="AN70"/>
  <c r="AO70"/>
  <c r="AP70"/>
  <c r="D33" i="109"/>
  <c r="D43" s="1"/>
  <c r="E42" s="1"/>
  <c r="D24" i="90"/>
  <c r="D43" s="1"/>
  <c r="E42" s="1"/>
  <c r="D24" i="18"/>
  <c r="D43" s="1"/>
  <c r="E42" s="1"/>
  <c r="D43" i="132"/>
  <c r="D44"/>
  <c r="E43" s="1"/>
  <c r="D31" i="129"/>
  <c r="D33" i="72"/>
  <c r="D43" s="1"/>
  <c r="E42" s="1"/>
  <c r="D24" i="10"/>
  <c r="AH44" i="112"/>
  <c r="AO44"/>
  <c r="AP44"/>
  <c r="AH20"/>
  <c r="AO20"/>
  <c r="AP20"/>
  <c r="Y86"/>
  <c r="AN40"/>
  <c r="AN39"/>
  <c r="AO39"/>
  <c r="AP39"/>
  <c r="AH54"/>
  <c r="AN18"/>
  <c r="D42" i="95"/>
  <c r="D43" s="1"/>
  <c r="E42" s="1"/>
  <c r="D19" i="128"/>
  <c r="D43" s="1"/>
  <c r="E42" s="1"/>
  <c r="D36" i="125"/>
  <c r="D24" i="107"/>
  <c r="D43"/>
  <c r="E42" s="1"/>
  <c r="D24" i="100"/>
  <c r="D43" s="1"/>
  <c r="E42" s="1"/>
  <c r="AI86" i="112"/>
  <c r="AN10"/>
  <c r="AO10"/>
  <c r="AP10"/>
  <c r="AN57"/>
  <c r="AO57"/>
  <c r="AP57"/>
  <c r="AO54"/>
  <c r="AP54"/>
  <c r="AH86"/>
  <c r="AO18"/>
  <c r="AP18"/>
  <c r="AP4"/>
  <c r="AO86"/>
  <c r="AN86"/>
  <c r="AO58"/>
  <c r="AP58"/>
  <c r="AP86"/>
  <c r="C10" i="20" l="1"/>
  <c r="C12"/>
  <c r="G8" i="3"/>
  <c r="C10" i="95"/>
  <c r="B12" i="20" s="1"/>
  <c r="E10" i="83"/>
</calcChain>
</file>

<file path=xl/comments1.xml><?xml version="1.0" encoding="utf-8"?>
<comments xmlns="http://schemas.openxmlformats.org/spreadsheetml/2006/main">
  <authors>
    <author>Кассир</author>
  </authors>
  <commentList>
    <comment ref="S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ТСЖ Горького 14б 11080,61, Сах Телеком 4233,87, ростелеком 3998,60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ТСЖ Горь 14б 12975,5, КЭЧ 0, Ростелеком 5712,86, лимитед 4233,87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Избушка 9846,19,Вешка м-н соц 31826,98, лимитед интер 4233,87, ростелеком 3998,6</t>
        </r>
      </text>
    </comment>
    <comment ref="S7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избушка 10278,83, лимитед 4233,87, ростелеком 3998,6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Кассир: </t>
        </r>
        <r>
          <rPr>
            <sz val="9"/>
            <color indexed="81"/>
            <rFont val="Tahoma"/>
            <family val="2"/>
            <charset val="204"/>
          </rPr>
          <t xml:space="preserve"> парикмах 0, лимитенд 4233,87, ростелеком 3998,6</t>
        </r>
      </text>
    </comment>
    <comment ref="S9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 ростелеком 3998,6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Кассир: </t>
        </r>
        <r>
          <rPr>
            <sz val="9"/>
            <color indexed="81"/>
            <rFont val="Tahoma"/>
            <family val="2"/>
            <charset val="204"/>
          </rPr>
          <t>умвд 15888,96,лимитенд 4233,87,ростелеком 3998,6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двгупс 74800,11, бородина аптека 21305,42,</t>
        </r>
      </text>
    </comment>
    <comment ref="S12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 лимитенд 4233,87,ростелеком 3998,6</t>
        </r>
      </text>
    </comment>
    <comment ref="S13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 ростелеклм 3998,6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ТСЖ гор 14б 6041,45, евпархия 17768,88, фаворит строй 98680,6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Избушка 10272,35, теинком 16941,48, лимитенд 4233,87, ростелеком 3998,6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жэу-1 58520,34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ТСЖ гор 14б 18537,44, лимитенд 4233,87, ростелеком 5712,86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нежилые горького 11б</t>
        </r>
      </text>
    </comment>
    <comment ref="S19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5712,86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наркология 473,03, вларен 15727,2,Удача(Васильева) 13636,91</t>
        </r>
      </text>
    </comment>
    <comment ref="S2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наркология 788,44, лимитенд 4233,87, ростелеком 5712,86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Наркология 577,18</t>
        </r>
      </text>
    </comment>
    <comment ref="S23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сахкомцентр 15135,2,ростелеком 5712,86</t>
        </r>
      </text>
    </commen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3998,6</t>
        </r>
      </text>
    </comment>
    <comment ref="S25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3998,60, наркология 548,34</t>
        </r>
      </text>
    </comment>
    <comment ref="S29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8795,28, АТБ 11997,03,ВТБ 54843,75, Звада 3758,04,клетчетова 16498,72,прокаева 24180,03, садовникова 0, юрченко 17881,01</t>
        </r>
      </text>
    </comment>
    <comment ref="S30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4233,87,Дан-макс 14133,46,ОАО ВНГ 61327,15,Шубин 11660,22,упр дел Администр 72792,72 ростелеком 3998,6</t>
        </r>
      </text>
    </comment>
    <comment ref="S3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4233,87,упр дел Админитр 64418,64, ростелеком 2630,44</t>
        </r>
      </text>
    </comment>
    <comment ref="S32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сбербанк 2753,96,альфа 21560,04,ЦБС 36606,22,элексир (Аптека) 15800,49, Лимиде 4233,87, ростелеком 5712,86</t>
        </r>
      </text>
    </comment>
    <comment ref="S33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сбербанк 1730,64,лунная соната 0,самохина 17000,лимитенд 4233,87,ростелеком 3998,6</t>
        </r>
      </text>
    </comment>
    <comment ref="S3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лимидент 4233,87, ростелеком 2850,32, весть 13442, целитель 79525,27</t>
        </r>
      </text>
    </comment>
    <comment ref="S35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4233,87,общ глухих 9158,1, стрекалова 3159,24</t>
        </r>
      </text>
    </comment>
    <comment ref="S36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8050, почта 11328,4,союз садовода 25175,93,чо ен ок 19821,28</t>
        </r>
      </text>
    </comment>
    <comment ref="S37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тлеком 8050, саныч 18321,64, ли с.б. 12777,33,соколова 13759,92</t>
        </r>
      </text>
    </comment>
    <comment ref="S38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8050, ДЮСШ 4528,01</t>
        </r>
      </text>
    </comment>
    <comment ref="S40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ДЮСШ 3180,42, транс телеком 8050, сарапулова 0</t>
        </r>
      </text>
    </comment>
    <comment ref="S4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Юсса -дом 14730,07.лимитенд 4233,87,ростелеком 5712,86</t>
        </r>
      </text>
    </comment>
    <comment ref="S42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юсса дом 8780,65,лимитенд 4233,87,ростелеком 3998,6,Карасенко (клиника) 1801,2</t>
        </r>
      </text>
    </comment>
    <comment ref="S4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4233,87,зайцев 94292,88, УМВД 105384,36</t>
        </r>
      </text>
    </comment>
    <comment ref="AE4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уборка л/кл+ помывка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юсса-дом 9128,08, лимитенд 4233,87, ростелеком 3998,6</t>
        </r>
      </text>
    </comment>
    <comment ref="S47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3998,6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 гуржий 53610,48,саир 492872,54</t>
        </r>
      </text>
    </comment>
    <comment ref="S49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4233,87,ростелеком 3998,6</t>
        </r>
      </text>
    </comment>
    <comment ref="S50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3998,6</t>
        </r>
      </text>
    </comment>
    <comment ref="S5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3998,6</t>
        </r>
      </text>
    </comment>
    <comment ref="S52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5712,86, Ю сен Чер (дака) 26391,76</t>
        </r>
      </text>
    </comment>
    <comment ref="S53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 ТСЖ Победы 22620,50</t>
        </r>
      </text>
    </comment>
    <comment ref="S5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ДЮСШ 1464,27,Ким Ен Э (парик) 97867,96, сто услуг 14146,54, лимитенд 4233,87</t>
        </r>
      </text>
    </comment>
    <comment ref="S55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ДЮСШ 1451,42, Усковав(пар)47238,72Шлапаков (маг)23017,56, транс телеком 8050, Анохина 18392,55</t>
        </r>
      </text>
    </comment>
    <comment ref="S56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2630,44</t>
        </r>
      </text>
    </comment>
    <comment ref="S57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ростелеком 3998,6,наркология 482,77</t>
        </r>
      </text>
    </comment>
    <comment ref="S58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ИнСах 113109,59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8050, горнева 24490,43</t>
        </r>
      </text>
    </comment>
    <comment ref="S60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8050,Анастасия(маг) 26577,72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8050, Епархия 24418,32, Асадов 88678,81, Кузнецова 15011,02, Рыбина(аптека) 10355,52</t>
        </r>
      </text>
    </comment>
    <comment ref="S62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4233,87,ростелеком 3998,6</t>
        </r>
      </text>
    </comment>
    <comment ref="S63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 Молед инициат 70688,26 ростелеком 2633,44</t>
        </r>
      </text>
    </comment>
    <comment ref="S6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4233,87.ростелеком 3998,6</t>
        </r>
      </text>
    </comment>
    <comment ref="S65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лимитенд 4233,87,ростелеком 3998,6</t>
        </r>
      </text>
    </comment>
    <comment ref="S66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</t>
        </r>
      </text>
    </comment>
    <comment ref="S67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Ветер 25906,6, лимитенд  4233,87, ростелеком 7081,02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</t>
        </r>
      </text>
    </commen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аполрния 28744,46</t>
        </r>
      </text>
    </comment>
    <comment ref="S7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труд 59308, Юношеского туризма(ДЮТ) 45048,96,жэу-10 14801,23</t>
        </r>
      </text>
    </comment>
    <comment ref="S75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капитал строй 154092,94, тен 24825,76</t>
        </r>
      </text>
    </comment>
    <comment ref="S76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Токуда (парик) 62281,36</t>
        </r>
      </text>
    </comment>
    <comment ref="S77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</t>
        </r>
      </text>
    </comment>
    <comment ref="S78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</t>
        </r>
      </text>
    </comment>
    <comment ref="S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Касси </t>
        </r>
        <r>
          <rPr>
            <sz val="9"/>
            <color indexed="81"/>
            <rFont val="Tahoma"/>
            <family val="2"/>
            <charset val="204"/>
          </rPr>
          <t>транс телеком 8050,жэу-10 6222,1</t>
        </r>
      </text>
    </comment>
    <comment ref="S80" authorId="0">
      <text>
        <r>
          <rPr>
            <b/>
            <sz val="9"/>
            <color indexed="81"/>
            <rFont val="Tahoma"/>
            <family val="2"/>
            <charset val="204"/>
          </rPr>
          <t>Касс</t>
        </r>
        <r>
          <rPr>
            <sz val="9"/>
            <color indexed="81"/>
            <rFont val="Tahoma"/>
            <family val="2"/>
            <charset val="204"/>
          </rPr>
          <t>,Красовский 11493,75,жэу-10 4491,12, транс телеком 8400</t>
        </r>
      </text>
    </comment>
    <comment ref="S81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ДЮСШ 1941,70,транс телеком 8050</t>
        </r>
      </text>
    </comment>
    <comment ref="S82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дюсш 1948,56,транс телеком 8050</t>
        </r>
      </text>
    </comment>
    <comment ref="S83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жэу 10 3219,24,транс телеком 8050</t>
        </r>
      </text>
    </comment>
    <comment ref="S84" authorId="0">
      <text>
        <r>
          <rPr>
            <b/>
            <sz val="9"/>
            <color indexed="81"/>
            <rFont val="Tahoma"/>
            <family val="2"/>
            <charset val="204"/>
          </rPr>
          <t>Кассир:</t>
        </r>
        <r>
          <rPr>
            <sz val="9"/>
            <color indexed="81"/>
            <rFont val="Tahoma"/>
            <family val="2"/>
            <charset val="204"/>
          </rPr>
          <t xml:space="preserve">
транс телеком 8050</t>
        </r>
      </text>
    </comment>
  </commentList>
</comments>
</file>

<file path=xl/comments2.xml><?xml version="1.0" encoding="utf-8"?>
<comments xmlns="http://schemas.openxmlformats.org/spreadsheetml/2006/main">
  <authors>
    <author>Экономист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Экономист:</t>
        </r>
        <r>
          <rPr>
            <sz val="9"/>
            <color indexed="81"/>
            <rFont val="Tahoma"/>
            <family val="2"/>
            <charset val="204"/>
          </rPr>
          <t xml:space="preserve">
Расхождения со сводной таблицей из-за Поповича 25-Б на сумму 1061,62 (дом ушел, а в своде еще остался)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Экономист:</t>
        </r>
        <r>
          <rPr>
            <sz val="9"/>
            <color indexed="81"/>
            <rFont val="Tahoma"/>
            <family val="2"/>
            <charset val="204"/>
          </rPr>
          <t xml:space="preserve">
Расхождения на сумму 42517,19:
13628,64- Поповича 15-А
9356,63- Поповича 17-В
5620,50- Поповича 25-А
332,90- Поповича 25-Б
13578,52- Поповича 47-А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Экономист:</t>
        </r>
        <r>
          <rPr>
            <sz val="9"/>
            <color indexed="81"/>
            <rFont val="Tahoma"/>
            <family val="2"/>
            <charset val="204"/>
          </rPr>
          <t xml:space="preserve">
Не сходится со сводной таблицей в оборотке на сумму 63,70 (Поповича 25-Б)</t>
        </r>
      </text>
    </comment>
  </commentList>
</comments>
</file>

<file path=xl/sharedStrings.xml><?xml version="1.0" encoding="utf-8"?>
<sst xmlns="http://schemas.openxmlformats.org/spreadsheetml/2006/main" count="6353" uniqueCount="398">
  <si>
    <t>Услуги РКЦ по обработке  и начислению платежей, информационно-консультативные услуги</t>
  </si>
  <si>
    <t>в течение года</t>
  </si>
  <si>
    <t>Проведена работа по кап/рем. Нет</t>
  </si>
  <si>
    <t xml:space="preserve">Оплачено жителями </t>
  </si>
  <si>
    <t>Мытье лестничных площадок и маршей всех этажей</t>
  </si>
  <si>
    <t>2 раз(а) в год - май, октябрь</t>
  </si>
  <si>
    <t>Победы</t>
  </si>
  <si>
    <t>Мира</t>
  </si>
  <si>
    <t>Горького</t>
  </si>
  <si>
    <t>Комсомольская</t>
  </si>
  <si>
    <t>Поповича</t>
  </si>
  <si>
    <t xml:space="preserve">Поповича           </t>
  </si>
  <si>
    <t>Анкудинова</t>
  </si>
  <si>
    <t xml:space="preserve">Поповича              </t>
  </si>
  <si>
    <t>Физкультурная</t>
  </si>
  <si>
    <t xml:space="preserve">Поповича               </t>
  </si>
  <si>
    <t>5А</t>
  </si>
  <si>
    <t>11А</t>
  </si>
  <si>
    <t>17А</t>
  </si>
  <si>
    <t>3Б</t>
  </si>
  <si>
    <t>14А</t>
  </si>
  <si>
    <t>167А</t>
  </si>
  <si>
    <t>163А</t>
  </si>
  <si>
    <t>12А</t>
  </si>
  <si>
    <t>18А</t>
  </si>
  <si>
    <t>20А</t>
  </si>
  <si>
    <t>22А</t>
  </si>
  <si>
    <t>24А</t>
  </si>
  <si>
    <t>45А</t>
  </si>
  <si>
    <t>43А</t>
  </si>
  <si>
    <t>124А</t>
  </si>
  <si>
    <t>126Б</t>
  </si>
  <si>
    <t>ш\блоч</t>
  </si>
  <si>
    <t>кр\бл</t>
  </si>
  <si>
    <t xml:space="preserve">итого </t>
  </si>
  <si>
    <t>Всего</t>
  </si>
  <si>
    <t>Задолженность жителей на отчетный период</t>
  </si>
  <si>
    <t>ОТЧЕТ</t>
  </si>
  <si>
    <t>3.Канализация</t>
  </si>
  <si>
    <t>Всего по содержанию и текущему ремонту</t>
  </si>
  <si>
    <t>УК</t>
  </si>
  <si>
    <t>Всего по фонду</t>
  </si>
  <si>
    <t>благоустройство</t>
  </si>
  <si>
    <t>2. Отопление, горячее и холодное водоснабжение</t>
  </si>
  <si>
    <t>Работа дворника  по уборке терр</t>
  </si>
  <si>
    <t>Расчистка территории от снега</t>
  </si>
  <si>
    <t>Уборка Л/Кл</t>
  </si>
  <si>
    <t xml:space="preserve">Работы по содержанию дома </t>
  </si>
  <si>
    <t>Замена лампочек</t>
  </si>
  <si>
    <t>и в полном объеме оплату за его ремонт и текущее содержание.</t>
  </si>
  <si>
    <t xml:space="preserve">проявляют заботу об общем имуществе дома, производя вовремя  </t>
  </si>
  <si>
    <t>Итого</t>
  </si>
  <si>
    <t>РАБОТЫ ПО ТЕКУЩЕМУ РЕМОНТУ:</t>
  </si>
  <si>
    <t>1.Плотники-кровельщики,штукатуры -маляры</t>
  </si>
  <si>
    <t>Наименование</t>
  </si>
  <si>
    <t>Содержание и текущий</t>
  </si>
  <si>
    <t>Наименование работ</t>
  </si>
  <si>
    <t>Выполнение работ</t>
  </si>
  <si>
    <t>РАБОТЫ ПО СОДЕРЖАНИЮ ДОМА :</t>
  </si>
  <si>
    <t>6 раз в неделю</t>
  </si>
  <si>
    <t>3 раза : июнь,июль,август</t>
  </si>
  <si>
    <t>ежедневно</t>
  </si>
  <si>
    <t>Всего собрано по кап/ремонту</t>
  </si>
  <si>
    <t>Всего по дому накопительная по кап/ремонту</t>
  </si>
  <si>
    <t>Администрация ООО УК " ЖЭУ-7"</t>
  </si>
  <si>
    <t>к\пан</t>
  </si>
  <si>
    <t>ооо</t>
  </si>
  <si>
    <t>кр\бл.</t>
  </si>
  <si>
    <t>Электромонтажные работы</t>
  </si>
  <si>
    <t>Итого:</t>
  </si>
  <si>
    <t>Цены жил.услуг</t>
  </si>
  <si>
    <t>Всего кап/ремонт дома</t>
  </si>
  <si>
    <t>№ п/п</t>
  </si>
  <si>
    <t>Содержание                            ( название улицы)</t>
  </si>
  <si>
    <t>№              дома</t>
  </si>
  <si>
    <t xml:space="preserve">Тип                     дома </t>
  </si>
  <si>
    <t>Год                   постр.</t>
  </si>
  <si>
    <t xml:space="preserve">Эксплуатация лифта </t>
  </si>
  <si>
    <t xml:space="preserve">Обслуживание мусоропровода </t>
  </si>
  <si>
    <t xml:space="preserve">                                        Виды выполненных работ и услуг по содержанию                    </t>
  </si>
  <si>
    <t>6Б</t>
  </si>
  <si>
    <t>161А</t>
  </si>
  <si>
    <t>монолит.</t>
  </si>
  <si>
    <t>Отклонение по выполненым работам по содержанию  на 01.01.13</t>
  </si>
  <si>
    <t>Услуги ремонтно аварийной службы</t>
  </si>
  <si>
    <t>Налоги  УСН</t>
  </si>
  <si>
    <t>Сделано перерасчетов по дому (снятие РКЦ)</t>
  </si>
  <si>
    <t xml:space="preserve">Выражаем благодарность собственникам и нанимателям, которые </t>
  </si>
  <si>
    <t>Услуги по управлению:                                                                    работа паспортного стола;  выдача справок; аренда здания ООО УК "ЖЭУ-7"; услуги почтамта; содержание аппарата работников АУП</t>
  </si>
  <si>
    <t>10Б</t>
  </si>
  <si>
    <t>1994,1996,1997</t>
  </si>
  <si>
    <t>Накопительная на 31.12.2013 г.</t>
  </si>
  <si>
    <t>Отклонение по выполненым работам по содержанию  на 01.01.14</t>
  </si>
  <si>
    <t>Тихоокеанская</t>
  </si>
  <si>
    <t>ООО "ЖЭУ-7"</t>
  </si>
  <si>
    <t>ООО УК "ЖЭУ-7"</t>
  </si>
  <si>
    <t>Начислено    жителям дома  за 2014 г.</t>
  </si>
  <si>
    <t>Начислено жителям дома за 2014 г.</t>
  </si>
  <si>
    <t>Оплачено собственниками нежилых помещений за 2014 г.</t>
  </si>
  <si>
    <t>Задолженность жителей  на 01.01.2014 г.</t>
  </si>
  <si>
    <t>Фактические расходы ООО УК "ЖЭУ-7" за 2014 г.</t>
  </si>
  <si>
    <t>Общая сумма</t>
  </si>
  <si>
    <t>18а</t>
  </si>
  <si>
    <t>1993-1994</t>
  </si>
  <si>
    <t>6А-2</t>
  </si>
  <si>
    <t>6А-1</t>
  </si>
  <si>
    <t>к/бл</t>
  </si>
  <si>
    <t>к/пан</t>
  </si>
  <si>
    <t>14а</t>
  </si>
  <si>
    <t>Невельского</t>
  </si>
  <si>
    <t xml:space="preserve">Сахалинская </t>
  </si>
  <si>
    <t>Фабричная</t>
  </si>
  <si>
    <t>14-2</t>
  </si>
  <si>
    <t>Невельская</t>
  </si>
  <si>
    <t>ук</t>
  </si>
  <si>
    <t>11Б</t>
  </si>
  <si>
    <t xml:space="preserve">Невельская </t>
  </si>
  <si>
    <t>14-1</t>
  </si>
  <si>
    <t>Озерная</t>
  </si>
  <si>
    <t>2а</t>
  </si>
  <si>
    <t>ш/блоч</t>
  </si>
  <si>
    <t>жел-монол</t>
  </si>
  <si>
    <t>2б</t>
  </si>
  <si>
    <t>Текущий ремонт коструктивных элементов</t>
  </si>
  <si>
    <t>Работы по содержанию и ремонту оборудования и систем инженерно-технического обеспечения (ВДО тепло)</t>
  </si>
  <si>
    <t>ВДО ГВС</t>
  </si>
  <si>
    <t>ВДО ХВС, прочистка канализационной системы</t>
  </si>
  <si>
    <t>Сделано перерасчетов по дому (снятие ООО ВИЦ)</t>
  </si>
  <si>
    <t xml:space="preserve">об исполнении управляющей организацией                                                                                </t>
  </si>
  <si>
    <t>2. ВДО отопления</t>
  </si>
  <si>
    <t>3.ВДО ГВС</t>
  </si>
  <si>
    <t>4. ВДО ХВС, канализации</t>
  </si>
  <si>
    <t>Работы по содержанию помещений, входящих в состав общего имущества МКД:</t>
  </si>
  <si>
    <t>Работы по содержанию и ремонту конструктивных элементов зданий</t>
  </si>
  <si>
    <t>Выкашивание газонов</t>
  </si>
  <si>
    <t>3 раз(а) в неделю</t>
  </si>
  <si>
    <t>Подметание лестничных площадок и маршей свыше 3 этажа</t>
  </si>
  <si>
    <t>2 раз(а) в неделю</t>
  </si>
  <si>
    <t>по плану работ</t>
  </si>
  <si>
    <t>по графику, плану работ</t>
  </si>
  <si>
    <t>по мере поступления заявок</t>
  </si>
  <si>
    <t xml:space="preserve">Обработка подвальных помещений от блох, комаров: Дезинсекция </t>
  </si>
  <si>
    <t>Обработка подвальных помещений от крыс: Дератизация</t>
  </si>
  <si>
    <t>2 раз(а) в год</t>
  </si>
  <si>
    <r>
      <rPr>
        <b/>
        <sz val="11"/>
        <rFont val="Times New Roman"/>
        <family val="1"/>
        <charset val="204"/>
      </rPr>
      <t xml:space="preserve">Работа уборщиц по уборке лесничных клеток:                                 </t>
    </r>
    <r>
      <rPr>
        <sz val="11"/>
        <rFont val="Times New Roman"/>
        <family val="1"/>
        <charset val="204"/>
      </rPr>
      <t>Подметание лестничных площадок и маршей до 3 этажа</t>
    </r>
  </si>
  <si>
    <t>Услуги паспортного стола:</t>
  </si>
  <si>
    <t>согласно договору</t>
  </si>
  <si>
    <t>Задолженность собственников жилых помещений на отчетный период</t>
  </si>
  <si>
    <t>Осмотр внутридомовых инженерных сетей                                Работы по содержанию и ремонту оборудования и систем инженерно-технического обеспечения ВДО ХВС, канализации</t>
  </si>
  <si>
    <t xml:space="preserve">5. Электромонтажные работы:        </t>
  </si>
  <si>
    <t>Содержание и текущий ремонт (руб.)</t>
  </si>
  <si>
    <t>Задолженность собственников нежилых помещений на отчетный период</t>
  </si>
  <si>
    <t>Уборка помещений общего пользования МКД</t>
  </si>
  <si>
    <t>Уборка мест сбора и складирования мусора</t>
  </si>
  <si>
    <t>Осмотр внутридомовых инженерных сетей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Текущий ремонт инженерных сетей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</si>
  <si>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 </t>
  </si>
  <si>
    <r>
      <t xml:space="preserve">Работа дворника по уборке территории:                                            </t>
    </r>
    <r>
      <rPr>
        <sz val="11"/>
        <rFont val="Times New Roman"/>
        <family val="1"/>
        <charset val="204"/>
      </rPr>
      <t xml:space="preserve">Подметание ступеней и площадок    </t>
    </r>
    <r>
      <rPr>
        <b/>
        <sz val="11"/>
        <rFont val="Times New Roman"/>
        <family val="1"/>
        <charset val="204"/>
      </rPr>
      <t xml:space="preserve">                                                            </t>
    </r>
    <r>
      <rPr>
        <sz val="11"/>
        <rFont val="Times New Roman"/>
        <family val="1"/>
        <charset val="204"/>
      </rPr>
      <t>Подметание территории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</t>
    </r>
    <r>
      <rPr>
        <sz val="11"/>
        <rFont val="Times New Roman"/>
        <family val="1"/>
        <charset val="204"/>
      </rPr>
      <t xml:space="preserve"> Уборка газонов                                                                                        Уборка скошенной травы с газонов                                                   Уборка территории от мусора</t>
    </r>
  </si>
  <si>
    <t>в зимний период, по мере необходимости</t>
  </si>
  <si>
    <t>Обеспечение устранения аварий на внутридомовых системах</t>
  </si>
  <si>
    <t>Выдача справок                                                                                                                                                  Прием документов на постановку и снятие с регистрационного учета</t>
  </si>
  <si>
    <t>Расчистка территории от снега, подсыпка территории от наледи пескосоляной смесью</t>
  </si>
  <si>
    <t>Благоустройство (хоз.работы,  окраска малых форм, смена ламп, изготовление/ремонт скамеек, штакетников и тд.)</t>
  </si>
  <si>
    <t>Работы по содержанию и ремонту оборудования и систем инженерно-технического обеспечения, входящих в состав общего имущества МКД(отопление, ХВС, ГВС, ЭЭ)</t>
  </si>
  <si>
    <t>Осмотр внутридомовых инженерных сетей         Профилактические работы на внутридомовой системе      электроснабжения                                                                                   Текущий ремонт внутридомовой системы электроснабжения, планово-предупредительный ремонт этажных электрощитов и ВРУ                                                                                                 Техническое обслуживание инженерных сетей, входящих в состов общего имущества МКД</t>
  </si>
  <si>
    <t xml:space="preserve">            тариф 22,45</t>
  </si>
  <si>
    <t xml:space="preserve">по адресу ул. Поповича 24а       пл дома 2687,4м2                                                                              </t>
  </si>
  <si>
    <t>круглосуточно</t>
  </si>
  <si>
    <t>чердак, подвал</t>
  </si>
  <si>
    <r>
      <rPr>
        <b/>
        <sz val="11"/>
        <rFont val="Times New Roman"/>
        <family val="1"/>
        <charset val="204"/>
      </rPr>
      <t xml:space="preserve">2 раз(а) в год   </t>
    </r>
    <r>
      <rPr>
        <sz val="11"/>
        <rFont val="Times New Roman"/>
        <family val="1"/>
        <charset val="204"/>
      </rPr>
      <t xml:space="preserve">                          По графику, по мере необходимости</t>
    </r>
  </si>
  <si>
    <t>6 раз(а) в неделю</t>
  </si>
  <si>
    <t>3 раз(а) : июнь,июль,август</t>
  </si>
  <si>
    <r>
      <rPr>
        <b/>
        <sz val="11"/>
        <rFont val="Times New Roman"/>
        <family val="1"/>
        <charset val="204"/>
      </rPr>
      <t xml:space="preserve">Осмотр наружных коструктивных элементов зданий                               Осмотр состояния конструкций лесничных маршей </t>
    </r>
    <r>
      <rPr>
        <sz val="11"/>
        <rFont val="Times New Roman"/>
        <family val="1"/>
        <charset val="204"/>
      </rPr>
      <t xml:space="preserve">     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</si>
  <si>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  <charset val="204"/>
      </rPr>
      <t>2 раз(а) в год</t>
    </r>
    <r>
      <rPr>
        <sz val="11"/>
        <rFont val="Times New Roman"/>
        <family val="1"/>
        <charset val="204"/>
      </rPr>
      <t xml:space="preserve">                       По графику, по мере необходимости</t>
    </r>
  </si>
  <si>
    <r>
      <rPr>
        <b/>
        <sz val="11"/>
        <rFont val="Times New Roman"/>
        <family val="1"/>
        <charset val="204"/>
      </rPr>
      <t xml:space="preserve">Осмотр наружных коструктивных элементов зданий                               Осмотр состояния конструкций лесничных маршей               </t>
    </r>
    <r>
      <rPr>
        <sz val="11"/>
        <rFont val="Times New Roman"/>
        <family val="1"/>
        <charset val="204"/>
      </rPr>
      <t xml:space="preserve">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</si>
  <si>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  <charset val="204"/>
      </rPr>
      <t xml:space="preserve">Осмотр наружных коструктивных элементов зданий                               Осмотр состояния конструкций лесничных маршей           </t>
    </r>
    <r>
      <rPr>
        <sz val="11"/>
        <rFont val="Times New Roman"/>
        <family val="1"/>
        <charset val="204"/>
      </rPr>
      <t xml:space="preserve">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</si>
  <si>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  <charset val="204"/>
      </rPr>
      <t xml:space="preserve">2 раз(а) в год     </t>
    </r>
    <r>
      <rPr>
        <sz val="11"/>
        <rFont val="Times New Roman"/>
        <family val="1"/>
        <charset val="204"/>
      </rPr>
      <t xml:space="preserve">                  По графику, по мере необходимости</t>
    </r>
  </si>
  <si>
    <t>чердак,подвалы</t>
  </si>
  <si>
    <r>
      <rPr>
        <b/>
        <sz val="11"/>
        <rFont val="Times New Roman"/>
        <family val="1"/>
        <charset val="204"/>
      </rPr>
      <t xml:space="preserve">Осмотр наружных коструктивных элементов зданий                               Осмотр состояния конструкций лесничных маршей      </t>
    </r>
    <r>
      <rPr>
        <sz val="11"/>
        <rFont val="Times New Roman"/>
        <family val="1"/>
        <charset val="204"/>
      </rPr>
      <t xml:space="preserve">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</si>
  <si>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  <charset val="204"/>
      </rPr>
      <t xml:space="preserve">2 раз(а) в год       </t>
    </r>
    <r>
      <rPr>
        <sz val="11"/>
        <rFont val="Times New Roman"/>
        <family val="1"/>
        <charset val="204"/>
      </rPr>
      <t xml:space="preserve">                По графику, по мере необходимости</t>
    </r>
  </si>
  <si>
    <r>
      <rPr>
        <b/>
        <sz val="11"/>
        <rFont val="Times New Roman"/>
        <family val="1"/>
        <charset val="204"/>
      </rPr>
      <t xml:space="preserve">Осмотр наружных коструктивных элементов зданий                               Осмотр состояния конструкций лесничных маршей     </t>
    </r>
    <r>
      <rPr>
        <sz val="11"/>
        <rFont val="Times New Roman"/>
        <family val="1"/>
        <charset val="204"/>
      </rPr>
      <t xml:space="preserve">             Текущий ремонт конструктивных элементов зданий                             Зимняя уборка кровли  от снего и наледи                 </t>
    </r>
  </si>
  <si>
    <t>чердак, подвалы</t>
  </si>
  <si>
    <r>
      <rPr>
        <b/>
        <sz val="11"/>
        <rFont val="Times New Roman"/>
        <family val="1"/>
        <charset val="204"/>
      </rPr>
      <t xml:space="preserve">2 раз(а) в год      </t>
    </r>
    <r>
      <rPr>
        <sz val="11"/>
        <rFont val="Times New Roman"/>
        <family val="1"/>
        <charset val="204"/>
      </rPr>
      <t xml:space="preserve">                     По графику, по мере необходимости</t>
    </r>
  </si>
  <si>
    <r>
      <rPr>
        <b/>
        <sz val="11"/>
        <rFont val="Times New Roman"/>
        <family val="1"/>
        <charset val="204"/>
      </rPr>
      <t xml:space="preserve">Осмотр наружных коструктивных элементов зданий                               Осмотр состояния конструкций лесничных маршей        </t>
    </r>
    <r>
      <rPr>
        <sz val="11"/>
        <rFont val="Times New Roman"/>
        <family val="1"/>
        <charset val="204"/>
      </rPr>
      <t xml:space="preserve">          Текущий ремонт конструктивных элементов зданий                             Зимняя уборка кровли  от снего и наледи                 </t>
    </r>
  </si>
  <si>
    <t>окос</t>
  </si>
  <si>
    <t xml:space="preserve">а) количество и даты имеющихся в течение отчетного года случаев нарушения периодичности и качества выполненых работ и услуг по содержанию и ремонту общего имущества в многоквартирном доме, а также связанныхс этим снижения платы за содержание и ремонт жилого дома </t>
  </si>
  <si>
    <t>нет</t>
  </si>
  <si>
    <t>б) количество и даты имеющихся в течение отчетного года случаев нарушения периодичности и качества предоставления коммунальных услуг виде УК, а также связанных с этим снижения платы за коммунальные услуги</t>
  </si>
  <si>
    <t>в)количество предложений, заявлений и жалоб собственников помещений и принятых мер по устранению в них недостатков (с указанием сроков принятия указаных мер), в том числе, сведения о количестве и содержании актов о причинении ущерба общему имуществу действиями УК и сведения о возмещении такого ущерба или об устранении порчи общего имущества</t>
  </si>
  <si>
    <t>нет                              отработаны</t>
  </si>
  <si>
    <t>г) случаи выполнения непредвиденных и неоложных работ с указанием видов, объемов и стоимость таких работ</t>
  </si>
  <si>
    <t>д) информацию о суммах, полученных УК по заключенным от имени собственников помещений  в многоквартирном доме договорам об использовании общего имущества собственников помещений в многоквартирном доме(в том числе договора на установку и эксплуатациюрекламных конструкций), напрвлении расходования таких сумм</t>
  </si>
  <si>
    <t>Обслуживание лифтового хозяйства</t>
  </si>
  <si>
    <t>е) порядок использования целевых средств собственников помещений (потребителей) на проведение ремонтных (в т.ч. непредвиденных) работ с указанием начисленной и израсходованной суммы таких резервов, суммой оставшегося резерва .</t>
  </si>
  <si>
    <t>ж) случаи изменения Перечня работ, услуг в соотвествии с порядком, установленным условиями Договора</t>
  </si>
  <si>
    <t>Дзержинского</t>
  </si>
  <si>
    <t>12а</t>
  </si>
  <si>
    <t>Емельянова 43'!A1</t>
  </si>
  <si>
    <t xml:space="preserve">Полезная жилая площадь                </t>
  </si>
  <si>
    <t>35,76/23,27</t>
  </si>
  <si>
    <t>32,28/21,73</t>
  </si>
  <si>
    <t>Задолженность арендаторов ,собственников( офисы, магазины) 2019</t>
  </si>
  <si>
    <t>Задолженность собственников  жилых помещений на 01.01.2019 г</t>
  </si>
  <si>
    <t>Начислено собственникам жилых помещений за 2019 г.</t>
  </si>
  <si>
    <t>Оплачено собственниками жилых помещений за 2019 г</t>
  </si>
  <si>
    <t>Задолженность собственников  нежилых помещений на 01.01.2019 г</t>
  </si>
  <si>
    <t>Начислено собственникам нежилых помещений за 2019 г</t>
  </si>
  <si>
    <t>Оплачено собственниками нежилых помещений за 2019 г</t>
  </si>
  <si>
    <t>Уборка мест сбора и складирование  ТКО</t>
  </si>
  <si>
    <t xml:space="preserve">Обработка подвалов    дератизация </t>
  </si>
  <si>
    <t xml:space="preserve">Обработка подвалов    дезинсекция </t>
  </si>
  <si>
    <t xml:space="preserve">по адресу ул. б-р Анкудинова 7                                 пл дома                                                                              </t>
  </si>
  <si>
    <t xml:space="preserve">по адресу ул. б-р Анкудинова 1                                 пл дома                                                                               </t>
  </si>
  <si>
    <t xml:space="preserve">по адресу ул. б-р Анкудинова 3                                 пл дома                                                                              </t>
  </si>
  <si>
    <t xml:space="preserve">по адресу ул. б-р Анкудинова 5                                 пл дома                                                                              </t>
  </si>
  <si>
    <t xml:space="preserve">по адресу ул. б-р Анкудинова 9                                 пл дома                                                                              </t>
  </si>
  <si>
    <t>По всем интересующим вопросам обращаться по тел.:  76-08-53.</t>
  </si>
  <si>
    <t xml:space="preserve">по адресу ул. б-р Анкудинова 11                                пл дома                                                                              </t>
  </si>
  <si>
    <t xml:space="preserve">по адресу ул. б-р Анкудинова 13                               пл дома                                                                               </t>
  </si>
  <si>
    <t xml:space="preserve">по адресу ул. б-р Анкудинова 17                              пл дома                                                                              </t>
  </si>
  <si>
    <t xml:space="preserve">по адресу ул. б-р Анкудинова 11а                             пл дома                                                                              </t>
  </si>
  <si>
    <t xml:space="preserve">по адресу ул. б-р Анкудинова 17а                             пл дома                                                                              </t>
  </si>
  <si>
    <t xml:space="preserve">по адресу ул. б-р Анкудинова 3б                              пл дома                                                                              </t>
  </si>
  <si>
    <t xml:space="preserve">по адресу ул. б-р Анкудинова 5а                                пл дома                                                                             </t>
  </si>
  <si>
    <t xml:space="preserve">по адресу ул. Тихоокеанская 27                                пл дома                                                                             </t>
  </si>
  <si>
    <t xml:space="preserve">по адресу ул. Горького 12                                          пл дома                                                                              </t>
  </si>
  <si>
    <t xml:space="preserve">по адресу ул. Горького 11б                                       пл дома                                                                              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</si>
  <si>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(Водонагревательное оборудование)  </t>
  </si>
  <si>
    <t>По всем интересующим вопросам обращаться по тел.: 76-08-53.</t>
  </si>
  <si>
    <t xml:space="preserve">по адресу ул. Горького 14                                          пл дома                                                                            </t>
  </si>
  <si>
    <t xml:space="preserve">                   и текущему ремонту общего   имущества дома за 2019 год</t>
  </si>
  <si>
    <t xml:space="preserve">по адресу ул. Горького 16                                          пл дома                                                                          </t>
  </si>
  <si>
    <t xml:space="preserve">по адресу ул. Горького 18                                         пл дома                                                                           </t>
  </si>
  <si>
    <t xml:space="preserve">по адресу ул. Горького 18а                                        пл дома                                                                              </t>
  </si>
  <si>
    <t xml:space="preserve">по адресу ул. Горького 20                                          пл дома                                                                               </t>
  </si>
  <si>
    <t>3. ВДО ГВС</t>
  </si>
  <si>
    <t xml:space="preserve">по адресу ул. Горького 22                                          пл дома                                                                          </t>
  </si>
  <si>
    <t xml:space="preserve">по адресу ул. Горького 14а                                       пл дома                                                                           </t>
  </si>
  <si>
    <t xml:space="preserve">по адресу ул. Горького 20а                                                пл дома                                                                             </t>
  </si>
  <si>
    <t xml:space="preserve">по адресу ул. Дзержинского 12                                  пл дома                                                                            </t>
  </si>
  <si>
    <t xml:space="preserve">по адресу ул. Дзержинского 12А                               пл дома                                                                             </t>
  </si>
  <si>
    <t xml:space="preserve">по адресу ул. Комсомольская 165                              пл дома                                                                            </t>
  </si>
  <si>
    <t xml:space="preserve">по адресу ул. Комсомольская 167                              пл дома                                                                             </t>
  </si>
  <si>
    <t xml:space="preserve">по адресу ул. Комсомольская 169                              пл дома                                                                              </t>
  </si>
  <si>
    <t>Обслуживание мусоропровода</t>
  </si>
  <si>
    <t>ежеднево</t>
  </si>
  <si>
    <t xml:space="preserve">по адресу ул. Комсомольская 191                              пл дома                                                                               </t>
  </si>
  <si>
    <t xml:space="preserve">по адресу ул. Комсомольская 193                             пл дома                                                                             </t>
  </si>
  <si>
    <t xml:space="preserve">по адресу ул. Комсомольская 195                             пл дома                                                                             </t>
  </si>
  <si>
    <t xml:space="preserve">по адресу ул. Комсомольская 167а                           пл дома                                                                               </t>
  </si>
  <si>
    <t xml:space="preserve">по адресу ул. пр. Мира 157                                        пл дома                                                                           </t>
  </si>
  <si>
    <t xml:space="preserve">по адресу ул. пр. Мира 161                                        пл дома                                                                            </t>
  </si>
  <si>
    <t xml:space="preserve">по адресу ул. пр. Мира 163                                         пл дома                                                                        </t>
  </si>
  <si>
    <t xml:space="preserve">по адресу ул. пр. Мира 161а                                       пл дома                                                                           </t>
  </si>
  <si>
    <t>Итого расходы</t>
  </si>
  <si>
    <t xml:space="preserve">по адресу ул. пр. Мира 163а                                       пл дома                                                                             </t>
  </si>
  <si>
    <t xml:space="preserve">по адресу ул. пр. Победы 4                                        пл дома                                                                            </t>
  </si>
  <si>
    <t xml:space="preserve">по адресу ул. пр. Победы 6                                        пл дома                                                                            </t>
  </si>
  <si>
    <t xml:space="preserve">по адресу ул. пр. Победы 6а-2                                   пл дома                                                                           </t>
  </si>
  <si>
    <t xml:space="preserve">по адресу ул. пр. Победы 6а-1                                  пл дома                                                                              </t>
  </si>
  <si>
    <t xml:space="preserve">по адресу ул. пр. Победы 6б                                      пл дома                                                                              </t>
  </si>
  <si>
    <t xml:space="preserve">по адресу ул. пр. Победы 8                                        пл дома                                                                            </t>
  </si>
  <si>
    <t xml:space="preserve">по адресу ул. пр. Победы 10                                      пл дома                                                                         </t>
  </si>
  <si>
    <t xml:space="preserve">по адресу ул. пр. Победы 10б                                    пл дома                                                                           </t>
  </si>
  <si>
    <t xml:space="preserve">по адресу ул. пр. Победы 12                                      пл дома                                                                            </t>
  </si>
  <si>
    <t xml:space="preserve">по адресу ул. пр. Победы 14                                      пл дома                                                                            </t>
  </si>
  <si>
    <t xml:space="preserve">по адресу ул. пр. Победы 16                                      пл дома                                                                           </t>
  </si>
  <si>
    <t xml:space="preserve">по адресу ул. пр. Победы 18                                      пл дома                                                                             </t>
  </si>
  <si>
    <t xml:space="preserve">по адресу ул. пр. Победы 26                                     пл дома                                                                             </t>
  </si>
  <si>
    <t xml:space="preserve">по адресу ул. пр. Победы 48                                     пл дома                                                                             </t>
  </si>
  <si>
    <t xml:space="preserve">по адресу ул. пр. Победы 50                                     пл дома                                                                             </t>
  </si>
  <si>
    <t xml:space="preserve">по адресу ул. пр. Победы 12а                                   пл дома                                                                            </t>
  </si>
  <si>
    <t xml:space="preserve">по адресу ул. Поповича 14                                        пл дома                                                                           </t>
  </si>
  <si>
    <t xml:space="preserve">по адресу ул. Поповича 21                                        пл дома                                                                               </t>
  </si>
  <si>
    <t>Обслуживание лифиового хозяйства</t>
  </si>
  <si>
    <t xml:space="preserve">по адресу ул. Поповича 43                                         пл дома                                                                             </t>
  </si>
  <si>
    <t xml:space="preserve">по адресу ул. Поповича 45                                        пл дома                                                                          </t>
  </si>
  <si>
    <t xml:space="preserve">по адресу ул. Поповича 47                                         пл дома                                                                             </t>
  </si>
  <si>
    <t xml:space="preserve">по адресу ул. Поповича 18а                                       пл дома                                                                           </t>
  </si>
  <si>
    <t xml:space="preserve">по адресу ул. Поповича 20а                                      пл дома                                                                            </t>
  </si>
  <si>
    <t xml:space="preserve">по адресу ул. Поповича 22а                                      пл дома                                                                              </t>
  </si>
  <si>
    <t>Иого расходы</t>
  </si>
  <si>
    <t xml:space="preserve">по адресу ул. Поповича 45а                                       пл дома                                                                            </t>
  </si>
  <si>
    <t xml:space="preserve">по адресу ул. Поповича 25                                       пл дома                                                                             </t>
  </si>
  <si>
    <t xml:space="preserve">по адресу ул. Поповича 43а                                       пл дома                                                                             </t>
  </si>
  <si>
    <t xml:space="preserve">по адресу ул. Невельского 4                                     пл дома                                                                             </t>
  </si>
  <si>
    <t xml:space="preserve">по адресу ул. Невельская 14 кор 1                           пл дома                                                                             </t>
  </si>
  <si>
    <t>Осблуживание лифтового хозяйства</t>
  </si>
  <si>
    <t xml:space="preserve">по адресу ул. Невельская 14 кор 2                           пл дома                                                                              </t>
  </si>
  <si>
    <t xml:space="preserve">по адресу ул. Озерная 2а                                           пл дома                                                                            </t>
  </si>
  <si>
    <t>Обслуживания лифтового хозяйства</t>
  </si>
  <si>
    <t xml:space="preserve">по адресу ул. Озерная 2б                                          пл дома                                                                             </t>
  </si>
  <si>
    <t>Обслживания лифтового хозяйства</t>
  </si>
  <si>
    <t xml:space="preserve">по адресу ул. Сахалинская 13                                  пл дома                                                                             </t>
  </si>
  <si>
    <t xml:space="preserve">по адресу ул. Фабричная 14а                                    пл дома                                                                             </t>
  </si>
  <si>
    <t xml:space="preserve">по адресу ул. Емельянова 43                                     пл дома                                                                              </t>
  </si>
  <si>
    <t>Обслуживания мусоропровода</t>
  </si>
  <si>
    <t xml:space="preserve">по адресу ул. Физкультурная 120                             пл дома                                                                               </t>
  </si>
  <si>
    <t xml:space="preserve">по адресу ул. Физкультурная 122                            пл дома                                                                               </t>
  </si>
  <si>
    <t xml:space="preserve">по адресу ул. Физкультурная 124                             пл дома                                                                               </t>
  </si>
  <si>
    <t xml:space="preserve">по адресу ул. Физкультурная 126                             пл дома                                                                               </t>
  </si>
  <si>
    <t xml:space="preserve">по адресу ул. Физкультурная 128                            пл дома                                                                               </t>
  </si>
  <si>
    <t xml:space="preserve">по адресу ул. Физкультурная 130                            пл дома                                                                               </t>
  </si>
  <si>
    <t xml:space="preserve">по адресу ул. Физкультурная 124а                          пл дома                                                                              </t>
  </si>
  <si>
    <t xml:space="preserve">по адресу ул. Физкультурная 126а                          пл дома                                                                               </t>
  </si>
  <si>
    <t xml:space="preserve">                               договора управления многоквартирным домом за  2019 год                Тариф</t>
  </si>
  <si>
    <t xml:space="preserve">по адресу ул. Физкультурная 126б                           пл дома                                                                               </t>
  </si>
  <si>
    <t>Расходы</t>
  </si>
  <si>
    <t>Осмотр внутридомовых инженерных сетей 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                  Текущий ремонт инженерных сетей           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</si>
  <si>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 Работы по содержанию и ремонту оборудования и систем     инженерно-технического обеспечения ВДО ГВС  </t>
  </si>
  <si>
    <t>Налоги УСН</t>
  </si>
  <si>
    <t>Затраты    с января  по   декабрь 2020 г</t>
  </si>
  <si>
    <r>
      <t xml:space="preserve">Начислено жителям дома </t>
    </r>
    <r>
      <rPr>
        <b/>
        <sz val="10"/>
        <rFont val="Arial Cyr"/>
        <charset val="204"/>
      </rPr>
      <t xml:space="preserve">тех/сод  </t>
    </r>
    <r>
      <rPr>
        <sz val="10"/>
        <rFont val="Arial Cyr"/>
        <charset val="204"/>
      </rPr>
      <t xml:space="preserve"> 2020г.</t>
    </r>
  </si>
  <si>
    <r>
      <t xml:space="preserve">Оплачено жителями по </t>
    </r>
    <r>
      <rPr>
        <b/>
        <sz val="10"/>
        <rFont val="Arial Cyr"/>
        <charset val="204"/>
      </rPr>
      <t xml:space="preserve">тех/сод     </t>
    </r>
    <r>
      <rPr>
        <sz val="10"/>
        <rFont val="Arial Cyr"/>
        <charset val="204"/>
      </rPr>
      <t>2020г.</t>
    </r>
  </si>
  <si>
    <r>
      <t xml:space="preserve">Сделано перерасчетов по дому </t>
    </r>
    <r>
      <rPr>
        <b/>
        <sz val="10"/>
        <rFont val="Arial Cyr"/>
        <charset val="204"/>
      </rPr>
      <t xml:space="preserve">тех/сод </t>
    </r>
    <r>
      <rPr>
        <sz val="10"/>
        <rFont val="Arial Cyr"/>
        <charset val="204"/>
      </rPr>
      <t xml:space="preserve">     2020 г.</t>
    </r>
  </si>
  <si>
    <r>
      <t xml:space="preserve">Задолженность жителей по </t>
    </r>
    <r>
      <rPr>
        <b/>
        <sz val="10"/>
        <rFont val="Arial Cyr"/>
        <charset val="204"/>
      </rPr>
      <t>тех сод на</t>
    </r>
    <r>
      <rPr>
        <sz val="10"/>
        <rFont val="Arial Cyr"/>
        <charset val="204"/>
      </rPr>
      <t xml:space="preserve">         31.12.2020 г. </t>
    </r>
  </si>
  <si>
    <t>Начислено арендаторам ,собственникам( офисы, магазины) 2020</t>
  </si>
  <si>
    <t>Поступления с арендаторов ,собственников( офисы, магазины) 2020</t>
  </si>
  <si>
    <t>Задолженность арендаторов ,собственников( офисы, магазины) 2020</t>
  </si>
  <si>
    <t>Задолженность жителей  на 01.01.2020г     тех/сод</t>
  </si>
  <si>
    <t>%</t>
  </si>
  <si>
    <t xml:space="preserve">                     договора управления многоквартирным домом за  2020 г                 тариф</t>
  </si>
  <si>
    <t>Задолженность собственников  жилых помещений на 01.01.2020 г</t>
  </si>
  <si>
    <t>Начислено собственникам жилых помещений за 2020 г.</t>
  </si>
  <si>
    <t>Оплачено собственниками жилых помещений за 2020 г</t>
  </si>
  <si>
    <t>Начислено собственникам нежилых помещений за 2020 г</t>
  </si>
  <si>
    <t>Оплачено собственниками нежилых помещений за 2020 г</t>
  </si>
  <si>
    <t xml:space="preserve">                   и текущему ремонту общего   имущества дома за 2020год</t>
  </si>
  <si>
    <t>Уборка л/кл и услуги мытья подъездов</t>
  </si>
  <si>
    <t>Услуги мытья подъезда</t>
  </si>
  <si>
    <t xml:space="preserve">                           договора управления многоквартирным домом за  2020 год               Тариф</t>
  </si>
  <si>
    <t xml:space="preserve">по графику </t>
  </si>
  <si>
    <t>раз в неделю моют первый этаж и лифт и раз в месяц полность все этажи</t>
  </si>
  <si>
    <t xml:space="preserve">                              договора управления многоквартирным домом за  2020 год             Тариф</t>
  </si>
  <si>
    <t>Задолженность собственников  нежилых помещений на 01.01.2020 г</t>
  </si>
  <si>
    <t xml:space="preserve">                   и текущему ремонту общего   имущества дома за 2020 год</t>
  </si>
  <si>
    <t>Услуги мытья подъзда</t>
  </si>
  <si>
    <t>по графику</t>
  </si>
  <si>
    <t>мытье подъезда понедельник, среда , пятница</t>
  </si>
  <si>
    <t xml:space="preserve">                    договора управления многоквартирным домом за  2020 год                тариф</t>
  </si>
  <si>
    <t xml:space="preserve">                  договора управления многоквартирным домом за  2020 год                  Тариф</t>
  </si>
  <si>
    <t xml:space="preserve">                     договора управления многоквартирным домом за  2020 год             Тариф</t>
  </si>
  <si>
    <t xml:space="preserve">               договора управления многоквартирным домом за  2020 год                  Тариф</t>
  </si>
  <si>
    <t xml:space="preserve">                      договора управления многоквартирным домом за  2020 год                            Тариф</t>
  </si>
  <si>
    <t xml:space="preserve">                       договора управления многоквартирным домом за  2020 год            Тариф</t>
  </si>
  <si>
    <t xml:space="preserve">                          договора управления многоквартирным домом за  2020 год                  тариф</t>
  </si>
  <si>
    <t xml:space="preserve">                           договора управления многоквартирным домом за  2020 год            Тариф</t>
  </si>
  <si>
    <t xml:space="preserve">                             договора управления многоквартирным домом за  2020 год               Тариф</t>
  </si>
  <si>
    <t xml:space="preserve">                              договора управления многоквартирным домом за  2020 год              Тариф</t>
  </si>
  <si>
    <t xml:space="preserve">                             договора управления многоквартирным домом за  2020 год              Тариф</t>
  </si>
  <si>
    <t>договора управления многоквартирным домом за  2020 год</t>
  </si>
  <si>
    <t xml:space="preserve">                               договора управления многоквартирным домом за  2020 год               Тариф </t>
  </si>
  <si>
    <t xml:space="preserve">                   и текущему ремонту общего   имущества дома за 2020  год</t>
  </si>
  <si>
    <t xml:space="preserve">                                 договора управления многоквартирным домом за  2020 год          Тариф</t>
  </si>
  <si>
    <t xml:space="preserve">                            договора управления многоквартирным домом за  2020 год           Тариф</t>
  </si>
  <si>
    <t xml:space="preserve">                           договора управления многоквартирным домом за  2020 год                     Тариф</t>
  </si>
  <si>
    <t xml:space="preserve">                                договора управления многоквартирным домом за  2020 год                  Тариф</t>
  </si>
  <si>
    <t xml:space="preserve">                             договора управления многоквартирным домом за  2020 год           Тариф</t>
  </si>
  <si>
    <t xml:space="preserve">                                договора управления многоквартирным домом за  2020 год             Тариф</t>
  </si>
  <si>
    <t xml:space="preserve">                              договора управления многоквартирным домом за  2020 год            Тариф</t>
  </si>
  <si>
    <t>Задолженность собственников жилых помещений на 01.01.2020 г</t>
  </si>
  <si>
    <t xml:space="preserve">                              договора управления многоквартирным домом за  2020 год                Тариф</t>
  </si>
  <si>
    <t>Жалоб                                     Заявление 4шт</t>
  </si>
  <si>
    <t xml:space="preserve">                               договора управления многоквартирным домом за  2020 год               Тариф</t>
  </si>
  <si>
    <t xml:space="preserve">                               договора управления многоквартирным домом за  2020 год          Тариф </t>
  </si>
  <si>
    <t xml:space="preserve">                               договора управления многоквартирным домом за  2020 год              Тариф</t>
  </si>
  <si>
    <t xml:space="preserve">                            договора управления многоквартирным домом за  2020 год              Тариф </t>
  </si>
  <si>
    <t xml:space="preserve">                            договора управления многоквартирным домом за  2020 год          Тариф</t>
  </si>
  <si>
    <t xml:space="preserve">                                 договора управления многоквартирным домом за  2020 год              Тариф</t>
  </si>
  <si>
    <t>Оплачено собственниками нежилых помещений за 2020г</t>
  </si>
  <si>
    <t xml:space="preserve">                                  договора управления многоквартирным домом за  2020 год               Тариф</t>
  </si>
  <si>
    <t xml:space="preserve">                             договора управления многоквартирным домом за  2020 год             Тариф</t>
  </si>
  <si>
    <t xml:space="preserve">                          договора управления многоквартирным домом за  2020 год          Тариф</t>
  </si>
  <si>
    <t xml:space="preserve">                             договора управления многоквартирным домом за  2020 год              Тариф </t>
  </si>
  <si>
    <t xml:space="preserve">                              договора управления многоквартирным домом за  2020год             Тариф</t>
  </si>
  <si>
    <t xml:space="preserve">                              договора управления многоквартирным домом за  2020 год          тариф</t>
  </si>
  <si>
    <t xml:space="preserve">                                  договора управления многоквартирным домом за  2020 год          Тариф</t>
  </si>
  <si>
    <t xml:space="preserve">                                 договора управления многоквартирным домом за  2020 год            Тариф</t>
  </si>
  <si>
    <t xml:space="preserve">                                договора управления многоквартирным домом за  2020 год              Тариф</t>
  </si>
  <si>
    <t xml:space="preserve">                                договора управления многоквартирным домом за  2020 год               Тариф</t>
  </si>
  <si>
    <t xml:space="preserve">                          договора управления многоквартирным домом за  2020 год               Тариф</t>
  </si>
  <si>
    <t xml:space="preserve">                              договора управления многоквартирным домом за  2020 год           Тариф</t>
  </si>
  <si>
    <t xml:space="preserve">                                договора управления многоквартирным домом за  2020 год           Тариф</t>
  </si>
  <si>
    <t xml:space="preserve">                                 договора управления многоквартирным домом за  2020 год               Тариф</t>
  </si>
  <si>
    <t xml:space="preserve">                              договора управления многоквартирным домом за  2020 год               Тариф</t>
  </si>
  <si>
    <t xml:space="preserve">                              договора управления многоквартирным домом за  2020 год                 Тариф</t>
  </si>
  <si>
    <t xml:space="preserve">                             договора управления многоквартирным домом за  2020год                Тариф </t>
  </si>
  <si>
    <t xml:space="preserve">                              договора управления многоквартирным домом за  2020 год              Тариф </t>
  </si>
  <si>
    <t xml:space="preserve">                            договора управления многоквартирным домом за  2020 год               Тариф</t>
  </si>
  <si>
    <t xml:space="preserve">                                договора управления многоквартирным домом за  2020 год            Тариф</t>
  </si>
  <si>
    <t>Начислено собственникам жилых помещений за 2020г.</t>
  </si>
  <si>
    <t xml:space="preserve">                        договора управления многоквартирным домом за  2020 год                     Тариф</t>
  </si>
  <si>
    <t xml:space="preserve">                             договора управления многоквартирным домом за  2020 год                Тариф </t>
  </si>
  <si>
    <t xml:space="preserve">                           договора управления многоквартирным домом за  2020 год                 Тариф</t>
  </si>
  <si>
    <t xml:space="preserve">                             договора управления многоквартирным домом за  2020 год                  Тариф</t>
  </si>
  <si>
    <t xml:space="preserve">                             договора управления многоквартирным домом за  2020 год                Тариф</t>
  </si>
  <si>
    <t xml:space="preserve">                           договора управления многоквартирным домом за  2020 год              Тариф</t>
  </si>
  <si>
    <t xml:space="preserve">                          договора управления многоквартирным домом за  2020 год                 Тариф</t>
  </si>
  <si>
    <t>УСН (6%)</t>
  </si>
</sst>
</file>

<file path=xl/styles.xml><?xml version="1.0" encoding="utf-8"?>
<styleSheet xmlns="http://schemas.openxmlformats.org/spreadsheetml/2006/main">
  <numFmts count="2">
    <numFmt numFmtId="175" formatCode="#,##0.00_р_."/>
    <numFmt numFmtId="176" formatCode="#,##0.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indexed="63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1"/>
      <color indexed="48"/>
      <name val="Arial Cyr"/>
      <charset val="204"/>
    </font>
    <font>
      <i/>
      <sz val="11"/>
      <color indexed="63"/>
      <name val="Times New Roman"/>
      <family val="1"/>
      <charset val="204"/>
    </font>
    <font>
      <sz val="8"/>
      <name val="Arial Cyr"/>
      <charset val="204"/>
    </font>
    <font>
      <b/>
      <i/>
      <sz val="11"/>
      <color indexed="63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0"/>
      <color indexed="48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4" tint="-0.49998474074526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E23E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4" fontId="0" fillId="4" borderId="3" xfId="0" applyNumberFormat="1" applyFill="1" applyBorder="1"/>
    <xf numFmtId="4" fontId="0" fillId="2" borderId="3" xfId="0" applyNumberFormat="1" applyFill="1" applyBorder="1"/>
    <xf numFmtId="4" fontId="0" fillId="5" borderId="3" xfId="0" applyNumberFormat="1" applyFill="1" applyBorder="1"/>
    <xf numFmtId="0" fontId="4" fillId="0" borderId="0" xfId="0" applyFont="1"/>
    <xf numFmtId="0" fontId="5" fillId="0" borderId="0" xfId="0" applyFont="1"/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0" xfId="0" applyNumberFormat="1"/>
    <xf numFmtId="4" fontId="2" fillId="2" borderId="3" xfId="0" applyNumberFormat="1" applyFont="1" applyFill="1" applyBorder="1"/>
    <xf numFmtId="4" fontId="1" fillId="2" borderId="3" xfId="0" applyNumberFormat="1" applyFont="1" applyFill="1" applyBorder="1"/>
    <xf numFmtId="3" fontId="0" fillId="6" borderId="3" xfId="0" applyNumberFormat="1" applyFill="1" applyBorder="1" applyAlignment="1">
      <alignment horizontal="center"/>
    </xf>
    <xf numFmtId="3" fontId="0" fillId="6" borderId="4" xfId="0" applyNumberFormat="1" applyFill="1" applyBorder="1" applyAlignment="1">
      <alignment horizontal="center"/>
    </xf>
    <xf numFmtId="9" fontId="0" fillId="0" borderId="2" xfId="0" applyNumberFormat="1" applyBorder="1"/>
    <xf numFmtId="0" fontId="2" fillId="0" borderId="3" xfId="0" applyFont="1" applyBorder="1"/>
    <xf numFmtId="0" fontId="7" fillId="0" borderId="3" xfId="0" applyFont="1" applyBorder="1"/>
    <xf numFmtId="3" fontId="0" fillId="7" borderId="3" xfId="0" applyNumberFormat="1" applyFill="1" applyBorder="1" applyAlignment="1">
      <alignment horizontal="center"/>
    </xf>
    <xf numFmtId="3" fontId="0" fillId="7" borderId="4" xfId="0" applyNumberFormat="1" applyFill="1" applyBorder="1" applyAlignment="1">
      <alignment horizontal="center"/>
    </xf>
    <xf numFmtId="0" fontId="0" fillId="7" borderId="5" xfId="0" applyFill="1" applyBorder="1"/>
    <xf numFmtId="4" fontId="2" fillId="3" borderId="3" xfId="0" applyNumberFormat="1" applyFont="1" applyFill="1" applyBorder="1"/>
    <xf numFmtId="4" fontId="2" fillId="4" borderId="3" xfId="0" applyNumberFormat="1" applyFont="1" applyFill="1" applyBorder="1"/>
    <xf numFmtId="4" fontId="2" fillId="5" borderId="3" xfId="0" applyNumberFormat="1" applyFont="1" applyFill="1" applyBorder="1"/>
    <xf numFmtId="0" fontId="11" fillId="7" borderId="6" xfId="0" applyFont="1" applyFill="1" applyBorder="1" applyAlignment="1">
      <alignment horizontal="left" vertical="top" wrapText="1" indent="9"/>
    </xf>
    <xf numFmtId="0" fontId="11" fillId="7" borderId="7" xfId="0" applyFont="1" applyFill="1" applyBorder="1" applyAlignment="1">
      <alignment vertical="top" wrapText="1"/>
    </xf>
    <xf numFmtId="0" fontId="11" fillId="7" borderId="8" xfId="0" applyFont="1" applyFill="1" applyBorder="1" applyAlignment="1">
      <alignment vertical="top" wrapText="1"/>
    </xf>
    <xf numFmtId="0" fontId="11" fillId="7" borderId="9" xfId="0" applyFont="1" applyFill="1" applyBorder="1" applyAlignment="1">
      <alignment horizontal="left" vertical="top" wrapText="1" indent="9"/>
    </xf>
    <xf numFmtId="0" fontId="12" fillId="7" borderId="9" xfId="0" applyFont="1" applyFill="1" applyBorder="1" applyAlignment="1">
      <alignment vertical="top" wrapText="1"/>
    </xf>
    <xf numFmtId="0" fontId="13" fillId="7" borderId="9" xfId="0" applyFont="1" applyFill="1" applyBorder="1" applyAlignment="1">
      <alignment vertical="top" wrapText="1"/>
    </xf>
    <xf numFmtId="0" fontId="12" fillId="7" borderId="9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/>
    </xf>
    <xf numFmtId="0" fontId="12" fillId="0" borderId="0" xfId="0" applyFont="1" applyBorder="1"/>
    <xf numFmtId="0" fontId="12" fillId="0" borderId="10" xfId="0" applyFont="1" applyBorder="1"/>
    <xf numFmtId="0" fontId="12" fillId="0" borderId="9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175" fontId="12" fillId="0" borderId="1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wrapText="1"/>
    </xf>
    <xf numFmtId="0" fontId="12" fillId="0" borderId="9" xfId="0" applyFont="1" applyFill="1" applyBorder="1"/>
    <xf numFmtId="0" fontId="12" fillId="0" borderId="3" xfId="0" applyFont="1" applyFill="1" applyBorder="1" applyAlignment="1">
      <alignment horizontal="center"/>
    </xf>
    <xf numFmtId="0" fontId="13" fillId="0" borderId="9" xfId="0" applyFont="1" applyFill="1" applyBorder="1"/>
    <xf numFmtId="0" fontId="12" fillId="0" borderId="0" xfId="0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0" fontId="12" fillId="0" borderId="3" xfId="0" applyFont="1" applyBorder="1"/>
    <xf numFmtId="0" fontId="14" fillId="8" borderId="12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/>
    <xf numFmtId="0" fontId="8" fillId="7" borderId="13" xfId="0" applyFont="1" applyFill="1" applyBorder="1" applyAlignment="1"/>
    <xf numFmtId="0" fontId="10" fillId="7" borderId="13" xfId="0" applyFont="1" applyFill="1" applyBorder="1" applyAlignment="1">
      <alignment horizontal="left"/>
    </xf>
    <xf numFmtId="0" fontId="12" fillId="0" borderId="14" xfId="0" applyFont="1" applyBorder="1"/>
    <xf numFmtId="4" fontId="13" fillId="7" borderId="3" xfId="0" applyNumberFormat="1" applyFont="1" applyFill="1" applyBorder="1" applyAlignment="1">
      <alignment horizontal="center" vertical="top" wrapText="1"/>
    </xf>
    <xf numFmtId="0" fontId="10" fillId="8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3" borderId="3" xfId="0" applyFont="1" applyFill="1" applyBorder="1"/>
    <xf numFmtId="0" fontId="16" fillId="7" borderId="4" xfId="0" applyFont="1" applyFill="1" applyBorder="1" applyAlignment="1">
      <alignment horizontal="center"/>
    </xf>
    <xf numFmtId="3" fontId="16" fillId="7" borderId="4" xfId="0" applyNumberFormat="1" applyFont="1" applyFill="1" applyBorder="1" applyAlignment="1">
      <alignment horizontal="center"/>
    </xf>
    <xf numFmtId="4" fontId="16" fillId="7" borderId="3" xfId="0" applyNumberFormat="1" applyFont="1" applyFill="1" applyBorder="1" applyAlignment="1">
      <alignment horizontal="center"/>
    </xf>
    <xf numFmtId="4" fontId="16" fillId="7" borderId="16" xfId="0" applyNumberFormat="1" applyFont="1" applyFill="1" applyBorder="1" applyAlignment="1">
      <alignment horizontal="center"/>
    </xf>
    <xf numFmtId="4" fontId="16" fillId="3" borderId="3" xfId="0" applyNumberFormat="1" applyFont="1" applyFill="1" applyBorder="1"/>
    <xf numFmtId="3" fontId="16" fillId="7" borderId="17" xfId="0" applyNumberFormat="1" applyFont="1" applyFill="1" applyBorder="1" applyAlignment="1">
      <alignment horizontal="center"/>
    </xf>
    <xf numFmtId="4" fontId="16" fillId="7" borderId="18" xfId="0" applyNumberFormat="1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3" fontId="16" fillId="7" borderId="3" xfId="0" applyNumberFormat="1" applyFont="1" applyFill="1" applyBorder="1" applyAlignment="1">
      <alignment horizontal="center"/>
    </xf>
    <xf numFmtId="4" fontId="16" fillId="7" borderId="19" xfId="0" applyNumberFormat="1" applyFont="1" applyFill="1" applyBorder="1" applyAlignment="1">
      <alignment horizontal="center"/>
    </xf>
    <xf numFmtId="0" fontId="16" fillId="0" borderId="3" xfId="0" applyFont="1" applyBorder="1"/>
    <xf numFmtId="0" fontId="16" fillId="0" borderId="19" xfId="0" applyFont="1" applyBorder="1"/>
    <xf numFmtId="4" fontId="16" fillId="0" borderId="3" xfId="0" applyNumberFormat="1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3" fontId="15" fillId="7" borderId="19" xfId="1" applyNumberFormat="1" applyFill="1" applyBorder="1" applyAlignment="1" applyProtection="1"/>
    <xf numFmtId="4" fontId="0" fillId="7" borderId="16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3" fontId="15" fillId="7" borderId="3" xfId="1" applyNumberFormat="1" applyFill="1" applyBorder="1" applyAlignment="1" applyProtection="1"/>
    <xf numFmtId="3" fontId="15" fillId="7" borderId="16" xfId="1" applyNumberFormat="1" applyFill="1" applyBorder="1" applyAlignment="1" applyProtection="1"/>
    <xf numFmtId="175" fontId="12" fillId="0" borderId="20" xfId="0" applyNumberFormat="1" applyFont="1" applyFill="1" applyBorder="1" applyAlignment="1">
      <alignment horizontal="center" vertical="center"/>
    </xf>
    <xf numFmtId="4" fontId="18" fillId="0" borderId="3" xfId="0" applyNumberFormat="1" applyFont="1" applyBorder="1"/>
    <xf numFmtId="4" fontId="17" fillId="10" borderId="3" xfId="0" applyNumberFormat="1" applyFont="1" applyFill="1" applyBorder="1"/>
    <xf numFmtId="4" fontId="3" fillId="7" borderId="3" xfId="0" applyNumberFormat="1" applyFont="1" applyFill="1" applyBorder="1" applyAlignment="1">
      <alignment horizontal="center" vertical="top" wrapText="1"/>
    </xf>
    <xf numFmtId="0" fontId="21" fillId="0" borderId="9" xfId="0" applyFont="1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vertical="top" wrapText="1"/>
    </xf>
    <xf numFmtId="175" fontId="13" fillId="11" borderId="11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7" fillId="0" borderId="0" xfId="0" applyFont="1"/>
    <xf numFmtId="175" fontId="12" fillId="0" borderId="24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wrapText="1"/>
    </xf>
    <xf numFmtId="0" fontId="24" fillId="0" borderId="0" xfId="0" applyFont="1" applyBorder="1"/>
    <xf numFmtId="0" fontId="25" fillId="0" borderId="0" xfId="0" applyFont="1" applyBorder="1"/>
    <xf numFmtId="0" fontId="0" fillId="0" borderId="0" xfId="0" applyBorder="1"/>
    <xf numFmtId="3" fontId="0" fillId="7" borderId="3" xfId="0" applyNumberFormat="1" applyFont="1" applyFill="1" applyBorder="1" applyAlignment="1">
      <alignment horizontal="center"/>
    </xf>
    <xf numFmtId="0" fontId="13" fillId="0" borderId="25" xfId="0" applyFont="1" applyBorder="1"/>
    <xf numFmtId="0" fontId="22" fillId="0" borderId="26" xfId="0" applyFont="1" applyBorder="1"/>
    <xf numFmtId="0" fontId="12" fillId="0" borderId="27" xfId="0" applyFont="1" applyBorder="1"/>
    <xf numFmtId="175" fontId="13" fillId="11" borderId="28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top" wrapText="1"/>
    </xf>
    <xf numFmtId="0" fontId="11" fillId="7" borderId="8" xfId="0" applyFont="1" applyFill="1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/>
    </xf>
    <xf numFmtId="175" fontId="13" fillId="11" borderId="2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4" fontId="34" fillId="7" borderId="3" xfId="0" applyNumberFormat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vertical="center" wrapText="1"/>
    </xf>
    <xf numFmtId="2" fontId="0" fillId="0" borderId="0" xfId="0" applyNumberFormat="1"/>
    <xf numFmtId="4" fontId="7" fillId="0" borderId="3" xfId="0" applyNumberFormat="1" applyFont="1" applyBorder="1"/>
    <xf numFmtId="4" fontId="0" fillId="0" borderId="3" xfId="0" applyNumberFormat="1" applyBorder="1"/>
    <xf numFmtId="4" fontId="0" fillId="0" borderId="3" xfId="0" applyNumberFormat="1" applyFont="1" applyBorder="1"/>
    <xf numFmtId="49" fontId="0" fillId="7" borderId="3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/>
    <xf numFmtId="4" fontId="0" fillId="0" borderId="0" xfId="0" applyNumberFormat="1" applyFont="1" applyBorder="1"/>
    <xf numFmtId="4" fontId="7" fillId="0" borderId="3" xfId="0" applyNumberFormat="1" applyFont="1" applyBorder="1" applyAlignment="1">
      <alignment horizontal="center"/>
    </xf>
    <xf numFmtId="4" fontId="16" fillId="10" borderId="3" xfId="0" applyNumberFormat="1" applyFont="1" applyFill="1" applyBorder="1"/>
    <xf numFmtId="49" fontId="0" fillId="7" borderId="3" xfId="0" applyNumberFormat="1" applyFont="1" applyFill="1" applyBorder="1" applyAlignment="1">
      <alignment horizontal="center"/>
    </xf>
    <xf numFmtId="4" fontId="0" fillId="7" borderId="19" xfId="0" applyNumberFormat="1" applyFont="1" applyFill="1" applyBorder="1" applyAlignment="1">
      <alignment horizontal="center"/>
    </xf>
    <xf numFmtId="0" fontId="1" fillId="10" borderId="3" xfId="0" applyFont="1" applyFill="1" applyBorder="1"/>
    <xf numFmtId="4" fontId="16" fillId="10" borderId="16" xfId="0" applyNumberFormat="1" applyFont="1" applyFill="1" applyBorder="1" applyAlignment="1">
      <alignment horizontal="center"/>
    </xf>
    <xf numFmtId="4" fontId="16" fillId="10" borderId="19" xfId="0" applyNumberFormat="1" applyFont="1" applyFill="1" applyBorder="1" applyAlignment="1">
      <alignment horizontal="center"/>
    </xf>
    <xf numFmtId="0" fontId="16" fillId="10" borderId="19" xfId="0" applyFont="1" applyFill="1" applyBorder="1"/>
    <xf numFmtId="3" fontId="0" fillId="0" borderId="1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12" borderId="15" xfId="0" applyFont="1" applyFill="1" applyBorder="1" applyAlignment="1">
      <alignment horizontal="left" vertical="center" wrapText="1"/>
    </xf>
    <xf numFmtId="0" fontId="14" fillId="12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49" fontId="12" fillId="0" borderId="22" xfId="0" applyNumberFormat="1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3" fillId="0" borderId="21" xfId="0" applyFont="1" applyFill="1" applyBorder="1"/>
    <xf numFmtId="0" fontId="12" fillId="0" borderId="17" xfId="0" applyFont="1" applyFill="1" applyBorder="1" applyAlignment="1">
      <alignment horizontal="center"/>
    </xf>
    <xf numFmtId="175" fontId="12" fillId="0" borderId="30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175" fontId="12" fillId="0" borderId="24" xfId="0" applyNumberFormat="1" applyFont="1" applyFill="1" applyBorder="1" applyAlignment="1">
      <alignment horizontal="center" vertical="center"/>
    </xf>
    <xf numFmtId="0" fontId="12" fillId="0" borderId="17" xfId="0" applyFont="1" applyBorder="1"/>
    <xf numFmtId="175" fontId="12" fillId="0" borderId="30" xfId="0" applyNumberFormat="1" applyFont="1" applyBorder="1" applyAlignment="1">
      <alignment horizontal="center"/>
    </xf>
    <xf numFmtId="175" fontId="12" fillId="0" borderId="24" xfId="0" applyNumberFormat="1" applyFont="1" applyBorder="1" applyAlignment="1"/>
    <xf numFmtId="0" fontId="12" fillId="0" borderId="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175" fontId="12" fillId="0" borderId="31" xfId="0" applyNumberFormat="1" applyFont="1" applyBorder="1" applyAlignment="1"/>
    <xf numFmtId="0" fontId="13" fillId="0" borderId="32" xfId="0" applyFont="1" applyFill="1" applyBorder="1" applyAlignment="1">
      <alignment horizontal="left" vertical="center" wrapText="1"/>
    </xf>
    <xf numFmtId="175" fontId="12" fillId="0" borderId="30" xfId="0" applyNumberFormat="1" applyFont="1" applyBorder="1" applyAlignment="1"/>
    <xf numFmtId="0" fontId="13" fillId="0" borderId="21" xfId="0" applyFont="1" applyBorder="1"/>
    <xf numFmtId="175" fontId="12" fillId="0" borderId="33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horizontal="center" vertical="top" wrapText="1"/>
    </xf>
    <xf numFmtId="175" fontId="12" fillId="0" borderId="28" xfId="0" applyNumberFormat="1" applyFont="1" applyFill="1" applyBorder="1" applyAlignment="1">
      <alignment horizontal="center" vertical="top" wrapText="1"/>
    </xf>
    <xf numFmtId="0" fontId="14" fillId="11" borderId="15" xfId="0" applyFont="1" applyFill="1" applyBorder="1" applyAlignment="1">
      <alignment horizontal="left" vertical="center" wrapText="1"/>
    </xf>
    <xf numFmtId="175" fontId="12" fillId="0" borderId="34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vertical="top" wrapText="1"/>
    </xf>
    <xf numFmtId="0" fontId="11" fillId="7" borderId="9" xfId="0" applyFont="1" applyFill="1" applyBorder="1" applyAlignment="1">
      <alignment vertical="top" wrapText="1"/>
    </xf>
    <xf numFmtId="0" fontId="0" fillId="11" borderId="0" xfId="0" applyFill="1" applyBorder="1"/>
    <xf numFmtId="4" fontId="7" fillId="11" borderId="3" xfId="0" applyNumberFormat="1" applyFont="1" applyFill="1" applyBorder="1"/>
    <xf numFmtId="0" fontId="0" fillId="11" borderId="3" xfId="0" applyFill="1" applyBorder="1"/>
    <xf numFmtId="4" fontId="35" fillId="4" borderId="3" xfId="0" applyNumberFormat="1" applyFont="1" applyFill="1" applyBorder="1" applyAlignment="1">
      <alignment horizontal="center"/>
    </xf>
    <xf numFmtId="176" fontId="35" fillId="4" borderId="3" xfId="0" applyNumberFormat="1" applyFont="1" applyFill="1" applyBorder="1" applyAlignment="1">
      <alignment horizontal="center"/>
    </xf>
    <xf numFmtId="4" fontId="35" fillId="5" borderId="3" xfId="0" applyNumberFormat="1" applyFont="1" applyFill="1" applyBorder="1"/>
    <xf numFmtId="4" fontId="35" fillId="5" borderId="3" xfId="0" applyNumberFormat="1" applyFont="1" applyFill="1" applyBorder="1" applyAlignment="1">
      <alignment horizontal="center"/>
    </xf>
    <xf numFmtId="4" fontId="0" fillId="0" borderId="2" xfId="0" applyNumberFormat="1" applyBorder="1"/>
    <xf numFmtId="49" fontId="12" fillId="0" borderId="25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4" fillId="12" borderId="15" xfId="0" applyFont="1" applyFill="1" applyBorder="1" applyAlignment="1">
      <alignment horizontal="left" vertical="center" wrapText="1"/>
    </xf>
    <xf numFmtId="0" fontId="14" fillId="11" borderId="3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175" fontId="12" fillId="0" borderId="37" xfId="0" applyNumberFormat="1" applyFont="1" applyFill="1" applyBorder="1" applyAlignment="1">
      <alignment horizontal="center"/>
    </xf>
    <xf numFmtId="0" fontId="14" fillId="11" borderId="6" xfId="0" applyFont="1" applyFill="1" applyBorder="1" applyAlignment="1">
      <alignment horizontal="left" vertical="center" wrapText="1"/>
    </xf>
    <xf numFmtId="175" fontId="12" fillId="0" borderId="8" xfId="0" applyNumberFormat="1" applyFont="1" applyFill="1" applyBorder="1" applyAlignment="1">
      <alignment horizontal="center"/>
    </xf>
    <xf numFmtId="49" fontId="24" fillId="0" borderId="3" xfId="0" applyNumberFormat="1" applyFont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vertical="top" wrapText="1"/>
    </xf>
    <xf numFmtId="3" fontId="15" fillId="7" borderId="19" xfId="1" quotePrefix="1" applyNumberFormat="1" applyFill="1" applyBorder="1" applyAlignment="1" applyProtection="1"/>
    <xf numFmtId="4" fontId="16" fillId="3" borderId="3" xfId="0" applyNumberFormat="1" applyFont="1" applyFill="1" applyBorder="1" applyAlignment="1">
      <alignment horizontal="center"/>
    </xf>
    <xf numFmtId="4" fontId="16" fillId="3" borderId="3" xfId="0" applyNumberFormat="1" applyFont="1" applyFill="1" applyBorder="1" applyAlignment="1"/>
    <xf numFmtId="0" fontId="12" fillId="0" borderId="3" xfId="0" applyFont="1" applyFill="1" applyBorder="1" applyAlignment="1">
      <alignment vertical="top" wrapText="1"/>
    </xf>
    <xf numFmtId="175" fontId="12" fillId="0" borderId="3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175" fontId="12" fillId="0" borderId="3" xfId="0" applyNumberFormat="1" applyFont="1" applyFill="1" applyBorder="1" applyAlignment="1">
      <alignment horizontal="center" vertical="center" wrapText="1"/>
    </xf>
    <xf numFmtId="175" fontId="12" fillId="0" borderId="24" xfId="0" applyNumberFormat="1" applyFont="1" applyBorder="1" applyAlignment="1">
      <alignment horizontal="center"/>
    </xf>
    <xf numFmtId="175" fontId="12" fillId="0" borderId="31" xfId="0" applyNumberFormat="1" applyFont="1" applyBorder="1" applyAlignment="1">
      <alignment horizontal="center"/>
    </xf>
    <xf numFmtId="4" fontId="35" fillId="10" borderId="3" xfId="0" applyNumberFormat="1" applyFont="1" applyFill="1" applyBorder="1"/>
    <xf numFmtId="4" fontId="35" fillId="3" borderId="3" xfId="0" applyNumberFormat="1" applyFont="1" applyFill="1" applyBorder="1" applyAlignment="1">
      <alignment horizontal="center"/>
    </xf>
    <xf numFmtId="4" fontId="35" fillId="3" borderId="3" xfId="0" applyNumberFormat="1" applyFont="1" applyFill="1" applyBorder="1"/>
    <xf numFmtId="175" fontId="12" fillId="0" borderId="14" xfId="0" applyNumberFormat="1" applyFon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/>
    </xf>
    <xf numFmtId="4" fontId="10" fillId="7" borderId="3" xfId="0" applyNumberFormat="1" applyFont="1" applyFill="1" applyBorder="1" applyAlignment="1">
      <alignment horizontal="center"/>
    </xf>
    <xf numFmtId="0" fontId="3" fillId="0" borderId="38" xfId="0" applyFont="1" applyBorder="1" applyAlignment="1"/>
    <xf numFmtId="0" fontId="3" fillId="0" borderId="19" xfId="0" applyFont="1" applyBorder="1" applyAlignment="1"/>
    <xf numFmtId="0" fontId="12" fillId="0" borderId="3" xfId="0" applyFont="1" applyFill="1" applyBorder="1" applyAlignment="1">
      <alignment horizontal="left" vertical="center" wrapText="1"/>
    </xf>
    <xf numFmtId="175" fontId="12" fillId="0" borderId="2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175" fontId="12" fillId="0" borderId="4" xfId="0" applyNumberFormat="1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center"/>
    </xf>
    <xf numFmtId="4" fontId="10" fillId="7" borderId="13" xfId="0" applyNumberFormat="1" applyFont="1" applyFill="1" applyBorder="1" applyAlignment="1">
      <alignment horizontal="left"/>
    </xf>
    <xf numFmtId="0" fontId="12" fillId="0" borderId="39" xfId="0" applyFont="1" applyFill="1" applyBorder="1" applyAlignment="1">
      <alignment horizontal="center" vertical="center" wrapText="1"/>
    </xf>
    <xf numFmtId="175" fontId="12" fillId="0" borderId="3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175" fontId="13" fillId="0" borderId="37" xfId="0" applyNumberFormat="1" applyFont="1" applyFill="1" applyBorder="1" applyAlignment="1">
      <alignment horizontal="center" vertical="center" wrapText="1"/>
    </xf>
    <xf numFmtId="0" fontId="13" fillId="0" borderId="18" xfId="0" applyFont="1" applyBorder="1"/>
    <xf numFmtId="175" fontId="12" fillId="0" borderId="8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5" fontId="13" fillId="0" borderId="8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Border="1"/>
    <xf numFmtId="175" fontId="13" fillId="0" borderId="40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top" wrapText="1"/>
    </xf>
    <xf numFmtId="175" fontId="12" fillId="0" borderId="8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top" wrapText="1"/>
    </xf>
    <xf numFmtId="175" fontId="12" fillId="0" borderId="19" xfId="0" applyNumberFormat="1" applyFont="1" applyFill="1" applyBorder="1" applyAlignment="1">
      <alignment horizontal="center" vertical="center" wrapText="1"/>
    </xf>
    <xf numFmtId="175" fontId="12" fillId="0" borderId="3" xfId="0" applyNumberFormat="1" applyFont="1" applyFill="1" applyBorder="1" applyAlignment="1">
      <alignment vertical="center" wrapText="1"/>
    </xf>
    <xf numFmtId="175" fontId="12" fillId="0" borderId="14" xfId="0" applyNumberFormat="1" applyFont="1" applyFill="1" applyBorder="1" applyAlignment="1">
      <alignment vertical="center" wrapText="1"/>
    </xf>
    <xf numFmtId="2" fontId="0" fillId="0" borderId="3" xfId="0" applyNumberFormat="1" applyBorder="1"/>
    <xf numFmtId="2" fontId="36" fillId="0" borderId="3" xfId="0" applyNumberFormat="1" applyFont="1" applyBorder="1"/>
    <xf numFmtId="2" fontId="0" fillId="0" borderId="3" xfId="0" applyNumberFormat="1" applyFont="1" applyBorder="1"/>
    <xf numFmtId="0" fontId="12" fillId="0" borderId="39" xfId="0" applyFont="1" applyFill="1" applyBorder="1" applyAlignment="1">
      <alignment vertical="center" wrapText="1"/>
    </xf>
    <xf numFmtId="4" fontId="12" fillId="0" borderId="37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left" vertical="center" wrapText="1"/>
    </xf>
    <xf numFmtId="2" fontId="0" fillId="10" borderId="3" xfId="0" applyNumberFormat="1" applyFont="1" applyFill="1" applyBorder="1"/>
    <xf numFmtId="2" fontId="0" fillId="10" borderId="3" xfId="0" applyNumberFormat="1" applyFill="1" applyBorder="1"/>
    <xf numFmtId="2" fontId="0" fillId="11" borderId="3" xfId="0" applyNumberFormat="1" applyFill="1" applyBorder="1"/>
    <xf numFmtId="2" fontId="0" fillId="11" borderId="3" xfId="0" applyNumberFormat="1" applyFont="1" applyFill="1" applyBorder="1"/>
    <xf numFmtId="2" fontId="36" fillId="11" borderId="3" xfId="0" applyNumberFormat="1" applyFont="1" applyFill="1" applyBorder="1"/>
    <xf numFmtId="0" fontId="0" fillId="0" borderId="0" xfId="0" applyAlignment="1">
      <alignment horizontal="left"/>
    </xf>
    <xf numFmtId="4" fontId="7" fillId="0" borderId="3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12" fillId="7" borderId="38" xfId="0" applyNumberFormat="1" applyFont="1" applyFill="1" applyBorder="1" applyAlignment="1">
      <alignment horizontal="center" vertical="top" wrapText="1"/>
    </xf>
    <xf numFmtId="4" fontId="12" fillId="7" borderId="42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7" borderId="39" xfId="0" applyFont="1" applyFill="1" applyBorder="1" applyAlignment="1">
      <alignment horizontal="center" vertical="top" wrapText="1"/>
    </xf>
    <xf numFmtId="0" fontId="11" fillId="7" borderId="48" xfId="0" applyFont="1" applyFill="1" applyBorder="1" applyAlignment="1">
      <alignment horizontal="center" vertical="top" wrapText="1"/>
    </xf>
    <xf numFmtId="4" fontId="3" fillId="7" borderId="50" xfId="0" applyNumberFormat="1" applyFont="1" applyFill="1" applyBorder="1" applyAlignment="1">
      <alignment horizontal="center" vertical="top" wrapText="1"/>
    </xf>
    <xf numFmtId="4" fontId="3" fillId="7" borderId="51" xfId="0" applyNumberFormat="1" applyFont="1" applyFill="1" applyBorder="1" applyAlignment="1">
      <alignment horizontal="center" vertical="top" wrapText="1"/>
    </xf>
    <xf numFmtId="4" fontId="23" fillId="7" borderId="38" xfId="0" applyNumberFormat="1" applyFont="1" applyFill="1" applyBorder="1" applyAlignment="1">
      <alignment horizontal="center" vertical="top" wrapText="1"/>
    </xf>
    <xf numFmtId="4" fontId="23" fillId="7" borderId="42" xfId="0" applyNumberFormat="1" applyFont="1" applyFill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75" fontId="12" fillId="0" borderId="49" xfId="0" applyNumberFormat="1" applyFont="1" applyFill="1" applyBorder="1" applyAlignment="1">
      <alignment horizontal="center" vertical="center" wrapText="1"/>
    </xf>
    <xf numFmtId="175" fontId="12" fillId="0" borderId="28" xfId="0" applyNumberFormat="1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top" wrapText="1"/>
    </xf>
    <xf numFmtId="175" fontId="12" fillId="0" borderId="3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5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5.xml"/><Relationship Id="rId95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3.xml"/><Relationship Id="rId9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1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6;&#1089;&#1090;&#1080;_2018/&#1042;&#1077;&#1076;&#1086;&#1084;&#1086;&#1089;&#1090;&#1100;%20&#1059;&#1050;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8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9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6;&#1089;&#1090;&#1080;_2019/&#1042;&#1077;&#1076;&#1086;&#1084;&#1086;&#1089;&#1090;&#1100;%20&#1059;&#1050;%202019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6;&#1089;&#1090;&#1080;_2020/40.03.01&#1073;%20&#1074;&#1077;&#1076;&#1086;&#1084;&#1086;&#1089;&#1090;&#1100;%20%202020%20&#1075;&#1086;&#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20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ВЕДОМОСТЬ_2018"/>
    </sheetNames>
    <sheetDataSet>
      <sheetData sheetId="0" refreshError="1">
        <row r="7">
          <cell r="F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8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 refreshError="1">
        <row r="12">
          <cell r="I12">
            <v>3087.6</v>
          </cell>
        </row>
        <row r="14">
          <cell r="H14">
            <v>2697.1</v>
          </cell>
        </row>
        <row r="15">
          <cell r="I15">
            <v>2730</v>
          </cell>
        </row>
        <row r="16">
          <cell r="I16">
            <v>2689.6</v>
          </cell>
        </row>
        <row r="19">
          <cell r="I19">
            <v>2711.4</v>
          </cell>
        </row>
        <row r="20">
          <cell r="I20">
            <v>2741.2</v>
          </cell>
        </row>
        <row r="21">
          <cell r="I21">
            <v>1843.3</v>
          </cell>
        </row>
        <row r="23">
          <cell r="I23">
            <v>4410.6000000000004</v>
          </cell>
        </row>
        <row r="25">
          <cell r="I25">
            <v>4341.5</v>
          </cell>
        </row>
        <row r="26">
          <cell r="I26">
            <v>2698.6</v>
          </cell>
        </row>
        <row r="27">
          <cell r="I27">
            <v>4404.7</v>
          </cell>
        </row>
        <row r="28">
          <cell r="I28">
            <v>3218.2</v>
          </cell>
        </row>
        <row r="34">
          <cell r="I34">
            <v>7134.8</v>
          </cell>
        </row>
        <row r="35">
          <cell r="I35">
            <v>2760.1</v>
          </cell>
        </row>
        <row r="36">
          <cell r="I36">
            <v>2132.6999999999998</v>
          </cell>
        </row>
        <row r="37">
          <cell r="I37">
            <v>4394.3999999999996</v>
          </cell>
        </row>
        <row r="39">
          <cell r="I39">
            <v>2326.1999999999998</v>
          </cell>
        </row>
        <row r="41">
          <cell r="I41">
            <v>4099.5</v>
          </cell>
        </row>
        <row r="42">
          <cell r="I42">
            <v>3116.6</v>
          </cell>
        </row>
        <row r="43">
          <cell r="I43">
            <v>3101.6</v>
          </cell>
        </row>
        <row r="44">
          <cell r="I44">
            <v>1393.9</v>
          </cell>
        </row>
        <row r="46">
          <cell r="I46">
            <v>4409.2</v>
          </cell>
        </row>
        <row r="47">
          <cell r="I47">
            <v>2688.6</v>
          </cell>
        </row>
        <row r="48">
          <cell r="I48">
            <v>1587.5</v>
          </cell>
        </row>
        <row r="51">
          <cell r="I51">
            <v>2732.4</v>
          </cell>
        </row>
        <row r="52">
          <cell r="I52">
            <v>2671.5</v>
          </cell>
        </row>
        <row r="54">
          <cell r="I54">
            <v>2708.1</v>
          </cell>
        </row>
        <row r="55">
          <cell r="I55">
            <v>2705</v>
          </cell>
        </row>
        <row r="56">
          <cell r="I56">
            <v>2706.7</v>
          </cell>
        </row>
        <row r="57">
          <cell r="I57">
            <v>4403.7</v>
          </cell>
        </row>
        <row r="58">
          <cell r="I58">
            <v>4379.5</v>
          </cell>
        </row>
        <row r="59">
          <cell r="I59">
            <v>1328.3</v>
          </cell>
        </row>
        <row r="60">
          <cell r="I60">
            <v>1325.4</v>
          </cell>
        </row>
        <row r="61">
          <cell r="I61">
            <v>1796</v>
          </cell>
        </row>
        <row r="62">
          <cell r="I62">
            <v>2691.4</v>
          </cell>
        </row>
        <row r="63">
          <cell r="I63">
            <v>2995</v>
          </cell>
        </row>
        <row r="64">
          <cell r="I64">
            <v>1263.5999999999999</v>
          </cell>
        </row>
        <row r="65">
          <cell r="I65">
            <v>1986.8</v>
          </cell>
        </row>
        <row r="67">
          <cell r="I67">
            <v>2689.4</v>
          </cell>
        </row>
        <row r="68">
          <cell r="I68">
            <v>1909.8</v>
          </cell>
        </row>
        <row r="69">
          <cell r="I69">
            <v>2677.3</v>
          </cell>
        </row>
        <row r="71">
          <cell r="I71">
            <v>2004.7</v>
          </cell>
        </row>
        <row r="73">
          <cell r="I73">
            <v>2213.5</v>
          </cell>
        </row>
        <row r="74">
          <cell r="I74">
            <v>4327.2</v>
          </cell>
        </row>
        <row r="75">
          <cell r="I75">
            <v>2719.9</v>
          </cell>
        </row>
        <row r="76">
          <cell r="I76">
            <v>3729.5</v>
          </cell>
        </row>
        <row r="80">
          <cell r="I80">
            <v>2665</v>
          </cell>
        </row>
        <row r="81">
          <cell r="I81">
            <v>3482.6</v>
          </cell>
        </row>
        <row r="84">
          <cell r="I84">
            <v>1722.5</v>
          </cell>
        </row>
        <row r="85">
          <cell r="I85">
            <v>1309.9000000000001</v>
          </cell>
        </row>
        <row r="86">
          <cell r="I86">
            <v>1329.9</v>
          </cell>
        </row>
        <row r="87">
          <cell r="I87">
            <v>1334.6</v>
          </cell>
        </row>
        <row r="88">
          <cell r="I88">
            <v>891.2</v>
          </cell>
        </row>
        <row r="90">
          <cell r="I90">
            <v>614.29999999999995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9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 refreshError="1">
        <row r="11">
          <cell r="I11">
            <v>2661.8</v>
          </cell>
        </row>
        <row r="12">
          <cell r="N12">
            <v>226382.83</v>
          </cell>
          <cell r="O12">
            <v>4816.66</v>
          </cell>
          <cell r="P12">
            <v>2593.58</v>
          </cell>
          <cell r="V12">
            <v>120045.89</v>
          </cell>
          <cell r="Y12">
            <v>32605.06</v>
          </cell>
          <cell r="AA12">
            <v>1482.05</v>
          </cell>
          <cell r="AB12">
            <v>1111.54</v>
          </cell>
          <cell r="AC12">
            <v>370.51</v>
          </cell>
          <cell r="AD12">
            <v>17414.060000000001</v>
          </cell>
          <cell r="AE12">
            <v>17414.060000000001</v>
          </cell>
          <cell r="AO12">
            <v>60393.46</v>
          </cell>
          <cell r="AS12">
            <v>35198.639999999999</v>
          </cell>
          <cell r="AW12">
            <v>31123.01</v>
          </cell>
          <cell r="AZ12">
            <v>54094.75</v>
          </cell>
          <cell r="BA12">
            <v>53353.73</v>
          </cell>
        </row>
        <row r="13">
          <cell r="I13">
            <v>2720.4</v>
          </cell>
          <cell r="N13">
            <v>199459.73</v>
          </cell>
          <cell r="O13">
            <v>4243.82</v>
          </cell>
          <cell r="P13">
            <v>2285.14</v>
          </cell>
          <cell r="V13">
            <v>105769.15</v>
          </cell>
          <cell r="Y13">
            <v>28727.42</v>
          </cell>
          <cell r="AA13">
            <v>1305.79</v>
          </cell>
          <cell r="AC13">
            <v>326.45</v>
          </cell>
          <cell r="AD13">
            <v>15343.06</v>
          </cell>
          <cell r="AE13">
            <v>15343.06</v>
          </cell>
          <cell r="AO13">
            <v>53211.02</v>
          </cell>
          <cell r="AS13">
            <v>31012.560000000001</v>
          </cell>
          <cell r="AW13">
            <v>27421.63</v>
          </cell>
          <cell r="AZ13">
            <v>47661.41</v>
          </cell>
          <cell r="BA13">
            <v>47008.51</v>
          </cell>
        </row>
        <row r="14">
          <cell r="N14">
            <v>197751.37</v>
          </cell>
          <cell r="O14">
            <v>4207.4799999999996</v>
          </cell>
          <cell r="P14">
            <v>2265.56</v>
          </cell>
          <cell r="V14">
            <v>104863.25</v>
          </cell>
          <cell r="Y14">
            <v>28481.38</v>
          </cell>
          <cell r="AA14">
            <v>1294.6099999999999</v>
          </cell>
          <cell r="AC14">
            <v>323.64999999999998</v>
          </cell>
          <cell r="AD14">
            <v>15211.64</v>
          </cell>
          <cell r="AE14">
            <v>15211.64</v>
          </cell>
          <cell r="AJ14">
            <v>100655.77</v>
          </cell>
          <cell r="AO14">
            <v>52755.28</v>
          </cell>
          <cell r="AS14">
            <v>30746.94</v>
          </cell>
          <cell r="AW14">
            <v>27186.77</v>
          </cell>
          <cell r="AZ14">
            <v>47253.19</v>
          </cell>
          <cell r="BA14">
            <v>46605.89</v>
          </cell>
        </row>
        <row r="15">
          <cell r="N15">
            <v>200163.6</v>
          </cell>
          <cell r="O15">
            <v>4258.8</v>
          </cell>
          <cell r="P15">
            <v>2293.1999999999998</v>
          </cell>
          <cell r="V15">
            <v>106142.39999999999</v>
          </cell>
          <cell r="Y15">
            <v>28828.799999999999</v>
          </cell>
          <cell r="AA15">
            <v>1310.4000000000001</v>
          </cell>
          <cell r="AC15">
            <v>327.60000000000002</v>
          </cell>
          <cell r="AD15">
            <v>15397.2</v>
          </cell>
          <cell r="AE15">
            <v>15397.2</v>
          </cell>
          <cell r="AJ15">
            <v>101883.6</v>
          </cell>
          <cell r="AO15">
            <v>53398.8</v>
          </cell>
          <cell r="AS15">
            <v>31122</v>
          </cell>
          <cell r="AW15">
            <v>27518.400000000001</v>
          </cell>
          <cell r="AZ15">
            <v>47829.599999999999</v>
          </cell>
          <cell r="BA15">
            <v>47174.400000000001</v>
          </cell>
        </row>
        <row r="16">
          <cell r="N16">
            <v>197201.47</v>
          </cell>
          <cell r="O16">
            <v>4195.78</v>
          </cell>
          <cell r="P16">
            <v>2259.2600000000002</v>
          </cell>
          <cell r="V16">
            <v>104571.65</v>
          </cell>
          <cell r="Y16">
            <v>28402.18</v>
          </cell>
          <cell r="AA16">
            <v>1291.01</v>
          </cell>
          <cell r="AB16">
            <v>968.26</v>
          </cell>
          <cell r="AC16">
            <v>322.75</v>
          </cell>
          <cell r="AD16">
            <v>15169.34</v>
          </cell>
          <cell r="AE16">
            <v>15169.34</v>
          </cell>
          <cell r="AJ16">
            <v>100375.87</v>
          </cell>
          <cell r="AO16">
            <v>52608.58</v>
          </cell>
          <cell r="AS16">
            <v>30661.439999999999</v>
          </cell>
          <cell r="AW16">
            <v>27111.17</v>
          </cell>
          <cell r="AZ16">
            <v>47121.79</v>
          </cell>
          <cell r="BA16">
            <v>46476.29</v>
          </cell>
        </row>
        <row r="17">
          <cell r="I17">
            <v>2720.1</v>
          </cell>
          <cell r="N17">
            <v>199437.73</v>
          </cell>
          <cell r="O17">
            <v>4243.3599999999997</v>
          </cell>
          <cell r="P17">
            <v>2284.88</v>
          </cell>
          <cell r="V17">
            <v>105757.49</v>
          </cell>
          <cell r="Y17">
            <v>28724.26</v>
          </cell>
          <cell r="AA17">
            <v>1305.6500000000001</v>
          </cell>
          <cell r="AC17">
            <v>326.41000000000003</v>
          </cell>
          <cell r="AD17">
            <v>15341.36</v>
          </cell>
          <cell r="AE17">
            <v>15341.36</v>
          </cell>
          <cell r="AJ17">
            <v>101514.13</v>
          </cell>
          <cell r="AO17">
            <v>53205.16</v>
          </cell>
          <cell r="AS17">
            <v>31009.14</v>
          </cell>
          <cell r="AW17">
            <v>27418.61</v>
          </cell>
          <cell r="AZ17">
            <v>47656.15</v>
          </cell>
          <cell r="BA17">
            <v>47003.33</v>
          </cell>
        </row>
        <row r="18">
          <cell r="I18">
            <v>5358</v>
          </cell>
          <cell r="N18">
            <v>392848.56</v>
          </cell>
          <cell r="O18">
            <v>8358.48</v>
          </cell>
          <cell r="P18">
            <v>4500.72</v>
          </cell>
          <cell r="V18">
            <v>208319.04</v>
          </cell>
          <cell r="Y18">
            <v>56580.480000000003</v>
          </cell>
          <cell r="AA18">
            <v>2571.84</v>
          </cell>
          <cell r="AC18">
            <v>642.96</v>
          </cell>
          <cell r="AD18">
            <v>30219.119999999999</v>
          </cell>
          <cell r="AE18">
            <v>30219.119999999999</v>
          </cell>
          <cell r="AO18">
            <v>104802.48</v>
          </cell>
          <cell r="AS18">
            <v>61081.2</v>
          </cell>
          <cell r="AW18">
            <v>54008.639999999999</v>
          </cell>
          <cell r="AZ18">
            <v>93872.16</v>
          </cell>
          <cell r="BA18">
            <v>92586.240000000005</v>
          </cell>
        </row>
        <row r="19">
          <cell r="N19">
            <v>198799.85</v>
          </cell>
          <cell r="O19">
            <v>4229.78</v>
          </cell>
          <cell r="P19">
            <v>2277.58</v>
          </cell>
          <cell r="V19">
            <v>105419.23</v>
          </cell>
          <cell r="Y19">
            <v>28632.38</v>
          </cell>
          <cell r="AA19">
            <v>1301.47</v>
          </cell>
          <cell r="AB19">
            <v>976.1</v>
          </cell>
          <cell r="AC19">
            <v>325.37</v>
          </cell>
          <cell r="AD19">
            <v>15292.3</v>
          </cell>
          <cell r="AE19">
            <v>15292.3</v>
          </cell>
          <cell r="AJ19">
            <v>101189.45</v>
          </cell>
          <cell r="AO19">
            <v>53034.98</v>
          </cell>
          <cell r="AS19">
            <v>30909.96</v>
          </cell>
          <cell r="AW19">
            <v>27330.91</v>
          </cell>
          <cell r="AZ19">
            <v>47503.73</v>
          </cell>
          <cell r="BA19">
            <v>46852.99</v>
          </cell>
        </row>
        <row r="20">
          <cell r="N20">
            <v>200984.78</v>
          </cell>
          <cell r="O20">
            <v>4276.2700000000004</v>
          </cell>
          <cell r="P20">
            <v>2302.61</v>
          </cell>
          <cell r="V20">
            <v>106577.86</v>
          </cell>
          <cell r="Y20">
            <v>28947.07</v>
          </cell>
          <cell r="AA20">
            <v>1315.78</v>
          </cell>
          <cell r="AC20">
            <v>328.94</v>
          </cell>
          <cell r="AD20">
            <v>15460.37</v>
          </cell>
          <cell r="AE20">
            <v>15460.37</v>
          </cell>
          <cell r="AO20">
            <v>53617.87</v>
          </cell>
          <cell r="AS20">
            <v>31249.68</v>
          </cell>
          <cell r="AW20">
            <v>27960.240000000002</v>
          </cell>
          <cell r="AZ20">
            <v>48025.82</v>
          </cell>
          <cell r="BA20">
            <v>47367.94</v>
          </cell>
        </row>
        <row r="21">
          <cell r="N21">
            <v>135150.76</v>
          </cell>
          <cell r="O21">
            <v>2875.55</v>
          </cell>
          <cell r="P21">
            <v>1548.37</v>
          </cell>
          <cell r="V21">
            <v>71667.5</v>
          </cell>
          <cell r="Y21">
            <v>19465.25</v>
          </cell>
          <cell r="AA21">
            <v>884.78</v>
          </cell>
          <cell r="AB21">
            <v>663.59</v>
          </cell>
          <cell r="AC21">
            <v>221.2</v>
          </cell>
          <cell r="AD21">
            <v>10396.209999999999</v>
          </cell>
          <cell r="AE21">
            <v>10396.209999999999</v>
          </cell>
          <cell r="AO21">
            <v>36054.949999999997</v>
          </cell>
          <cell r="AS21">
            <v>39594.080000000002</v>
          </cell>
          <cell r="AW21">
            <v>18801.66</v>
          </cell>
          <cell r="AZ21">
            <v>32294.62</v>
          </cell>
          <cell r="BA21">
            <v>31852.22</v>
          </cell>
        </row>
        <row r="22">
          <cell r="N22">
            <v>197590.07</v>
          </cell>
          <cell r="O22">
            <v>4204.04</v>
          </cell>
          <cell r="P22">
            <v>2263.7199999999998</v>
          </cell>
          <cell r="V22">
            <v>104777.71</v>
          </cell>
          <cell r="Y22">
            <v>28458.14</v>
          </cell>
          <cell r="AA22">
            <v>1293.55</v>
          </cell>
          <cell r="AB22">
            <v>970.16</v>
          </cell>
          <cell r="AC22">
            <v>323.39</v>
          </cell>
          <cell r="AD22">
            <v>15199.24</v>
          </cell>
          <cell r="AE22">
            <v>15199.24</v>
          </cell>
          <cell r="AJ22">
            <v>100573.67</v>
          </cell>
          <cell r="AO22">
            <v>52712.24</v>
          </cell>
          <cell r="AS22">
            <v>30721.86</v>
          </cell>
          <cell r="AW22">
            <v>27164.59</v>
          </cell>
          <cell r="AZ22">
            <v>47214.65</v>
          </cell>
          <cell r="BA22">
            <v>46567.87</v>
          </cell>
        </row>
        <row r="23">
          <cell r="N23">
            <v>305919.21999999997</v>
          </cell>
          <cell r="O23">
            <v>6880.54</v>
          </cell>
          <cell r="P23">
            <v>3704.9</v>
          </cell>
          <cell r="V23">
            <v>109030.03</v>
          </cell>
          <cell r="Y23">
            <v>46575.94</v>
          </cell>
          <cell r="AA23">
            <v>2117.09</v>
          </cell>
          <cell r="AC23">
            <v>529.27</v>
          </cell>
          <cell r="AD23">
            <v>24875.78</v>
          </cell>
          <cell r="AE23">
            <v>24875.78</v>
          </cell>
          <cell r="AO23">
            <v>86271.34</v>
          </cell>
          <cell r="AS23">
            <v>45517.39</v>
          </cell>
          <cell r="AW23">
            <v>44458.85</v>
          </cell>
          <cell r="AZ23">
            <v>77273.710000000006</v>
          </cell>
          <cell r="BA23">
            <v>76215.17</v>
          </cell>
        </row>
        <row r="24">
          <cell r="I24">
            <v>7314.6</v>
          </cell>
        </row>
        <row r="25">
          <cell r="N25">
            <v>318318.78000000003</v>
          </cell>
          <cell r="O25">
            <v>6772.74</v>
          </cell>
          <cell r="P25">
            <v>3646.86</v>
          </cell>
          <cell r="V25">
            <v>168797.52</v>
          </cell>
          <cell r="Y25">
            <v>45846.239999999998</v>
          </cell>
          <cell r="AA25">
            <v>2083.92</v>
          </cell>
          <cell r="AC25">
            <v>520.98</v>
          </cell>
          <cell r="AD25">
            <v>24486.06</v>
          </cell>
          <cell r="AE25">
            <v>24486.06</v>
          </cell>
          <cell r="AJ25">
            <v>162024.78</v>
          </cell>
          <cell r="AO25">
            <v>84919.74</v>
          </cell>
          <cell r="AS25">
            <v>49493.1</v>
          </cell>
          <cell r="AW25">
            <v>43762.32</v>
          </cell>
          <cell r="AZ25">
            <v>76063.08</v>
          </cell>
          <cell r="BA25">
            <v>75021.119999999995</v>
          </cell>
        </row>
        <row r="26">
          <cell r="N26">
            <v>197861.35</v>
          </cell>
          <cell r="O26">
            <v>4209.82</v>
          </cell>
          <cell r="P26">
            <v>2266.8200000000002</v>
          </cell>
          <cell r="V26">
            <v>104921.57</v>
          </cell>
          <cell r="Y26">
            <v>28497.22</v>
          </cell>
          <cell r="AA26">
            <v>1295.33</v>
          </cell>
          <cell r="AB26">
            <v>971.5</v>
          </cell>
          <cell r="AC26">
            <v>323.83</v>
          </cell>
          <cell r="AD26">
            <v>15220.1</v>
          </cell>
          <cell r="AE26">
            <v>15220.1</v>
          </cell>
          <cell r="AO26">
            <v>52784.62</v>
          </cell>
          <cell r="AS26">
            <v>30764.04</v>
          </cell>
          <cell r="AW26">
            <v>27201.89</v>
          </cell>
          <cell r="AZ26">
            <v>47279.47</v>
          </cell>
          <cell r="BA26">
            <v>46631.81</v>
          </cell>
        </row>
        <row r="27">
          <cell r="N27">
            <v>322952.59999999998</v>
          </cell>
          <cell r="O27">
            <v>6871.33</v>
          </cell>
          <cell r="P27">
            <v>3699.95</v>
          </cell>
          <cell r="V27">
            <v>171254.74</v>
          </cell>
          <cell r="Y27">
            <v>46513.63</v>
          </cell>
          <cell r="AA27">
            <v>2114.2600000000002</v>
          </cell>
          <cell r="AB27">
            <v>1585.69</v>
          </cell>
          <cell r="AC27">
            <v>528.55999999999995</v>
          </cell>
          <cell r="AD27">
            <v>24842.51</v>
          </cell>
          <cell r="AE27">
            <v>24842.51</v>
          </cell>
          <cell r="AO27">
            <v>86155.93</v>
          </cell>
          <cell r="AS27">
            <v>50213.58</v>
          </cell>
          <cell r="AW27">
            <v>44399.38</v>
          </cell>
          <cell r="AZ27">
            <v>77170.34</v>
          </cell>
          <cell r="BA27">
            <v>76113.22</v>
          </cell>
        </row>
        <row r="28">
          <cell r="N28">
            <v>235958.42</v>
          </cell>
          <cell r="O28">
            <v>5020.3900000000003</v>
          </cell>
          <cell r="P28">
            <v>2703.29</v>
          </cell>
          <cell r="V28">
            <v>125123.62</v>
          </cell>
          <cell r="Y28">
            <v>33984.19</v>
          </cell>
          <cell r="AA28">
            <v>1544.74</v>
          </cell>
          <cell r="AB28">
            <v>1158.55</v>
          </cell>
          <cell r="AC28">
            <v>386.18</v>
          </cell>
          <cell r="AD28">
            <v>18150.650000000001</v>
          </cell>
          <cell r="AE28">
            <v>18150.650000000001</v>
          </cell>
          <cell r="AO28">
            <v>62947.99</v>
          </cell>
          <cell r="AS28">
            <v>69126.94</v>
          </cell>
          <cell r="AW28">
            <v>32825.64</v>
          </cell>
          <cell r="AZ28">
            <v>56382.86</v>
          </cell>
          <cell r="BA28">
            <v>55610.5</v>
          </cell>
        </row>
        <row r="29">
          <cell r="I29">
            <v>4406.8</v>
          </cell>
          <cell r="N29">
            <v>323106.58</v>
          </cell>
          <cell r="O29">
            <v>6874.61</v>
          </cell>
          <cell r="P29">
            <v>3701.71</v>
          </cell>
          <cell r="V29">
            <v>171336.38</v>
          </cell>
          <cell r="Z29">
            <v>46535.81</v>
          </cell>
          <cell r="AA29">
            <v>2115.2600000000002</v>
          </cell>
          <cell r="AB29">
            <v>1586.45</v>
          </cell>
          <cell r="AC29">
            <v>528.82000000000005</v>
          </cell>
          <cell r="AD29">
            <v>24854.35</v>
          </cell>
          <cell r="AE29">
            <v>24854.35</v>
          </cell>
          <cell r="AO29">
            <v>86197.01</v>
          </cell>
          <cell r="AS29">
            <v>50237.52</v>
          </cell>
          <cell r="AW29">
            <v>44420.54</v>
          </cell>
          <cell r="AZ29">
            <v>77207.14</v>
          </cell>
          <cell r="BA29">
            <v>76149.5</v>
          </cell>
        </row>
        <row r="30">
          <cell r="I30">
            <v>2722</v>
          </cell>
          <cell r="N30">
            <v>199577.04</v>
          </cell>
          <cell r="O30">
            <v>4246.32</v>
          </cell>
          <cell r="P30">
            <v>2286.48</v>
          </cell>
          <cell r="V30">
            <v>105831.36</v>
          </cell>
          <cell r="Y30">
            <v>28744.32</v>
          </cell>
          <cell r="AA30">
            <v>1306.56</v>
          </cell>
          <cell r="AC30">
            <v>326.64</v>
          </cell>
          <cell r="AD30">
            <v>15352.08</v>
          </cell>
          <cell r="AE30">
            <v>15352.08</v>
          </cell>
          <cell r="AJ30">
            <v>101585.04</v>
          </cell>
          <cell r="AO30">
            <v>53242.32</v>
          </cell>
          <cell r="AS30">
            <v>31030.799999999999</v>
          </cell>
          <cell r="AW30">
            <v>27437.759999999998</v>
          </cell>
          <cell r="AZ30">
            <v>47689.440000000002</v>
          </cell>
          <cell r="BA30">
            <v>47036.160000000003</v>
          </cell>
        </row>
        <row r="31">
          <cell r="I31">
            <v>3057.8</v>
          </cell>
          <cell r="N31">
            <v>224197.9</v>
          </cell>
          <cell r="O31">
            <v>4770.17</v>
          </cell>
          <cell r="P31">
            <v>2568.5500000000002</v>
          </cell>
          <cell r="V31">
            <v>118887.26</v>
          </cell>
          <cell r="Z31">
            <v>32290.37</v>
          </cell>
          <cell r="AA31">
            <v>1467.74</v>
          </cell>
          <cell r="AC31">
            <v>366.94</v>
          </cell>
          <cell r="AD31">
            <v>17245.990000000002</v>
          </cell>
          <cell r="AE31">
            <v>17245.990000000002</v>
          </cell>
          <cell r="AJ31">
            <v>114117.1</v>
          </cell>
          <cell r="AO31">
            <v>59810.57</v>
          </cell>
          <cell r="AS31">
            <v>65681.539999999994</v>
          </cell>
          <cell r="AW31">
            <v>31189.56</v>
          </cell>
          <cell r="AZ31">
            <v>53572.66</v>
          </cell>
          <cell r="BA31">
            <v>52838.78</v>
          </cell>
        </row>
        <row r="32">
          <cell r="I32">
            <v>5970.1</v>
          </cell>
          <cell r="N32">
            <v>298743.8</v>
          </cell>
          <cell r="O32">
            <v>9313.36</v>
          </cell>
          <cell r="P32">
            <v>5014.88</v>
          </cell>
          <cell r="V32">
            <v>232117.49</v>
          </cell>
          <cell r="Z32">
            <v>63044.26</v>
          </cell>
          <cell r="AA32">
            <v>2865.65</v>
          </cell>
          <cell r="AC32">
            <v>716.41</v>
          </cell>
          <cell r="AD32">
            <v>33671.360000000001</v>
          </cell>
          <cell r="AE32">
            <v>33671.360000000001</v>
          </cell>
          <cell r="AJ32">
            <v>151162.93</v>
          </cell>
          <cell r="AO32">
            <v>116775.16</v>
          </cell>
          <cell r="AS32">
            <v>128237.75</v>
          </cell>
          <cell r="AW32">
            <v>60895.02</v>
          </cell>
          <cell r="AZ32">
            <v>104596.15</v>
          </cell>
          <cell r="BA32">
            <v>103163.33</v>
          </cell>
          <cell r="BE32">
            <v>454109.7</v>
          </cell>
        </row>
        <row r="33">
          <cell r="I33">
            <v>3312.2</v>
          </cell>
        </row>
        <row r="34">
          <cell r="I34">
            <v>3530.6</v>
          </cell>
        </row>
        <row r="35">
          <cell r="N35">
            <v>523123.54</v>
          </cell>
          <cell r="O35">
            <v>11130.29</v>
          </cell>
          <cell r="P35">
            <v>5993.23</v>
          </cell>
          <cell r="V35">
            <v>277401.02</v>
          </cell>
          <cell r="Y35">
            <v>75343.490000000005</v>
          </cell>
          <cell r="AA35">
            <v>3424.7</v>
          </cell>
          <cell r="AC35">
            <v>856.18</v>
          </cell>
          <cell r="AD35">
            <v>40240.269999999997</v>
          </cell>
          <cell r="AE35">
            <v>40240.269999999997</v>
          </cell>
          <cell r="AJ35">
            <v>266270.74</v>
          </cell>
          <cell r="AO35">
            <v>139556.69</v>
          </cell>
          <cell r="AS35">
            <v>81336.72</v>
          </cell>
          <cell r="AW35">
            <v>71918.78</v>
          </cell>
          <cell r="AZ35">
            <v>125001.7</v>
          </cell>
          <cell r="BA35">
            <v>123289.34</v>
          </cell>
        </row>
        <row r="36">
          <cell r="N36">
            <v>202370.53</v>
          </cell>
          <cell r="O36">
            <v>4305.76</v>
          </cell>
          <cell r="P36">
            <v>2318.48</v>
          </cell>
          <cell r="V36">
            <v>107312.69</v>
          </cell>
          <cell r="Z36">
            <v>29146.66</v>
          </cell>
          <cell r="AA36">
            <v>1324.85</v>
          </cell>
          <cell r="AC36">
            <v>331.21</v>
          </cell>
          <cell r="AD36">
            <v>15566.96</v>
          </cell>
          <cell r="AE36">
            <v>15566.96</v>
          </cell>
          <cell r="AJ36">
            <v>103006.93</v>
          </cell>
          <cell r="AO36">
            <v>53987.56</v>
          </cell>
          <cell r="AS36">
            <v>31465.14</v>
          </cell>
          <cell r="AW36">
            <v>27821.81</v>
          </cell>
          <cell r="AZ36">
            <v>48356.95</v>
          </cell>
          <cell r="BA36">
            <v>47694.53</v>
          </cell>
        </row>
        <row r="37">
          <cell r="N37">
            <v>156369.56</v>
          </cell>
          <cell r="O37">
            <v>3327.01</v>
          </cell>
          <cell r="P37">
            <v>1791.47</v>
          </cell>
          <cell r="V37">
            <v>82919.38</v>
          </cell>
          <cell r="Z37">
            <v>0</v>
          </cell>
          <cell r="AA37">
            <v>1023.7</v>
          </cell>
          <cell r="AB37">
            <v>767.77</v>
          </cell>
          <cell r="AC37">
            <v>255.92</v>
          </cell>
          <cell r="AD37">
            <v>12028.43</v>
          </cell>
          <cell r="AE37">
            <v>12028.43</v>
          </cell>
          <cell r="AJ37">
            <v>79592.36</v>
          </cell>
          <cell r="AO37">
            <v>26360.17</v>
          </cell>
          <cell r="AS37">
            <v>28919.41</v>
          </cell>
          <cell r="AW37">
            <v>21753.54</v>
          </cell>
          <cell r="AZ37">
            <v>37364.9</v>
          </cell>
          <cell r="BA37">
            <v>36853.06</v>
          </cell>
          <cell r="BC37">
            <v>61933.61</v>
          </cell>
        </row>
        <row r="38">
          <cell r="N38">
            <v>322197.40999999997</v>
          </cell>
          <cell r="O38">
            <v>6855.26</v>
          </cell>
          <cell r="P38">
            <v>3691.3</v>
          </cell>
          <cell r="V38">
            <v>170854.27</v>
          </cell>
          <cell r="Z38">
            <v>46404.86</v>
          </cell>
          <cell r="AA38">
            <v>2109.31</v>
          </cell>
          <cell r="AC38">
            <v>527.33000000000004</v>
          </cell>
          <cell r="AD38">
            <v>24784.42</v>
          </cell>
          <cell r="AE38">
            <v>24784.42</v>
          </cell>
          <cell r="AO38">
            <v>85954.46</v>
          </cell>
          <cell r="AS38">
            <v>50096.160000000003</v>
          </cell>
          <cell r="AW38">
            <v>44295.55</v>
          </cell>
          <cell r="AZ38">
            <v>76989.89</v>
          </cell>
          <cell r="BA38">
            <v>75935.23</v>
          </cell>
        </row>
        <row r="39">
          <cell r="I39">
            <v>2713.5</v>
          </cell>
          <cell r="N39">
            <v>198953.82</v>
          </cell>
          <cell r="O39">
            <v>4233.0600000000004</v>
          </cell>
          <cell r="P39">
            <v>2279.34</v>
          </cell>
          <cell r="V39">
            <v>105500.88</v>
          </cell>
          <cell r="Z39">
            <v>28654.560000000001</v>
          </cell>
          <cell r="AA39">
            <v>1302.48</v>
          </cell>
          <cell r="AB39">
            <v>976.86</v>
          </cell>
          <cell r="AC39">
            <v>325.62</v>
          </cell>
          <cell r="AD39">
            <v>15304.14</v>
          </cell>
          <cell r="AE39">
            <v>15304.14</v>
          </cell>
          <cell r="AJ39">
            <v>101267.82</v>
          </cell>
          <cell r="AO39">
            <v>53076.06</v>
          </cell>
          <cell r="AS39">
            <v>30933.9</v>
          </cell>
          <cell r="AW39">
            <v>27352.080000000002</v>
          </cell>
          <cell r="AZ39">
            <v>47540.52</v>
          </cell>
          <cell r="BA39">
            <v>46889.279999999999</v>
          </cell>
        </row>
        <row r="40">
          <cell r="N40">
            <v>170556.98</v>
          </cell>
          <cell r="O40">
            <v>3628.87</v>
          </cell>
          <cell r="P40">
            <v>1954.01</v>
          </cell>
          <cell r="V40">
            <v>90442.66</v>
          </cell>
          <cell r="Z40">
            <v>0</v>
          </cell>
          <cell r="AA40">
            <v>1116.58</v>
          </cell>
          <cell r="AB40">
            <v>837.43</v>
          </cell>
          <cell r="AC40">
            <v>279.14</v>
          </cell>
          <cell r="AD40">
            <v>13119.77</v>
          </cell>
          <cell r="AE40">
            <v>13119.77</v>
          </cell>
          <cell r="AO40">
            <v>45500.47</v>
          </cell>
          <cell r="AS40">
            <v>49966.78</v>
          </cell>
          <cell r="AW40">
            <v>23727.24</v>
          </cell>
          <cell r="AZ40">
            <v>40755.019999999997</v>
          </cell>
          <cell r="BA40">
            <v>40196.74</v>
          </cell>
          <cell r="BC40">
            <v>67552.850000000006</v>
          </cell>
          <cell r="BE40">
            <v>264837.96000000002</v>
          </cell>
        </row>
        <row r="41">
          <cell r="I41">
            <v>5414.4</v>
          </cell>
          <cell r="N41">
            <v>396983.81</v>
          </cell>
          <cell r="P41">
            <v>4548.1000000000004</v>
          </cell>
          <cell r="V41">
            <v>210511.87</v>
          </cell>
          <cell r="Z41">
            <v>57176.06</v>
          </cell>
          <cell r="AA41">
            <v>2598.91</v>
          </cell>
          <cell r="AC41">
            <v>649.73</v>
          </cell>
          <cell r="AD41">
            <v>30537.22</v>
          </cell>
          <cell r="AE41">
            <v>30537.22</v>
          </cell>
          <cell r="AO41">
            <v>105905.66</v>
          </cell>
          <cell r="AS41">
            <v>61724.160000000003</v>
          </cell>
          <cell r="AW41">
            <v>54577.15</v>
          </cell>
          <cell r="AZ41">
            <v>94860.29</v>
          </cell>
          <cell r="BA41">
            <v>93560.83</v>
          </cell>
        </row>
        <row r="42">
          <cell r="N42">
            <v>300575.34000000003</v>
          </cell>
          <cell r="O42">
            <v>6395.22</v>
          </cell>
          <cell r="P42">
            <v>3443.58</v>
          </cell>
          <cell r="V42">
            <v>159388.56</v>
          </cell>
          <cell r="Z42">
            <v>43290.720000000001</v>
          </cell>
          <cell r="AA42">
            <v>1967.76</v>
          </cell>
          <cell r="AB42">
            <v>1475.82</v>
          </cell>
          <cell r="AC42">
            <v>491.94</v>
          </cell>
          <cell r="AD42">
            <v>23121.18</v>
          </cell>
          <cell r="AE42">
            <v>23121.18</v>
          </cell>
          <cell r="AO42">
            <v>80186.22</v>
          </cell>
          <cell r="AS42">
            <v>46734.3</v>
          </cell>
          <cell r="AW42">
            <v>41322.959999999999</v>
          </cell>
          <cell r="AZ42">
            <v>71823.240000000005</v>
          </cell>
          <cell r="BA42">
            <v>70839.360000000001</v>
          </cell>
        </row>
        <row r="43">
          <cell r="N43">
            <v>228509.11</v>
          </cell>
          <cell r="O43">
            <v>4861.8999999999996</v>
          </cell>
          <cell r="P43">
            <v>2617.94</v>
          </cell>
          <cell r="V43">
            <v>121173.41</v>
          </cell>
          <cell r="Z43">
            <v>32911.300000000003</v>
          </cell>
          <cell r="AA43">
            <v>1495.97</v>
          </cell>
          <cell r="AC43">
            <v>373.99</v>
          </cell>
          <cell r="AD43">
            <v>17577.62</v>
          </cell>
          <cell r="AE43">
            <v>17577.62</v>
          </cell>
          <cell r="AO43">
            <v>60960.7</v>
          </cell>
          <cell r="AS43">
            <v>35529.24</v>
          </cell>
          <cell r="AW43">
            <v>31415.33</v>
          </cell>
          <cell r="AZ43">
            <v>54602.83</v>
          </cell>
          <cell r="BA43">
            <v>53854.85</v>
          </cell>
        </row>
        <row r="44">
          <cell r="N44">
            <v>227409.31</v>
          </cell>
          <cell r="O44">
            <v>4838.5</v>
          </cell>
          <cell r="P44">
            <v>2605.34</v>
          </cell>
          <cell r="V44">
            <v>120590.21</v>
          </cell>
          <cell r="Z44">
            <v>32752.9</v>
          </cell>
          <cell r="AA44">
            <v>1488.77</v>
          </cell>
          <cell r="AC44">
            <v>372.19</v>
          </cell>
          <cell r="AD44">
            <v>17493.02</v>
          </cell>
          <cell r="AE44">
            <v>17493.02</v>
          </cell>
          <cell r="AO44">
            <v>60667.3</v>
          </cell>
          <cell r="AS44">
            <v>35358.239999999998</v>
          </cell>
          <cell r="AW44">
            <v>31264.13</v>
          </cell>
          <cell r="AZ44">
            <v>54340.03</v>
          </cell>
          <cell r="BA44">
            <v>53595.65</v>
          </cell>
        </row>
        <row r="45">
          <cell r="N45">
            <v>157733.72</v>
          </cell>
          <cell r="O45">
            <v>2174.48</v>
          </cell>
          <cell r="P45">
            <v>1170.8800000000001</v>
          </cell>
          <cell r="V45">
            <v>85139.41</v>
          </cell>
          <cell r="Z45">
            <v>14719.58</v>
          </cell>
          <cell r="AA45">
            <v>669.07</v>
          </cell>
          <cell r="AB45">
            <v>501.8</v>
          </cell>
          <cell r="AC45">
            <v>167.27</v>
          </cell>
          <cell r="AD45">
            <v>17563.14</v>
          </cell>
          <cell r="AE45">
            <v>17563.14</v>
          </cell>
          <cell r="AO45">
            <v>42820.61</v>
          </cell>
          <cell r="AS45">
            <v>41482.46</v>
          </cell>
          <cell r="AW45">
            <v>20573.96</v>
          </cell>
          <cell r="AZ45">
            <v>37300.76</v>
          </cell>
          <cell r="BA45">
            <v>36798.959999999999</v>
          </cell>
        </row>
        <row r="46">
          <cell r="I46">
            <v>2246</v>
          </cell>
          <cell r="N46">
            <v>164676.72</v>
          </cell>
          <cell r="O46">
            <v>3503.76</v>
          </cell>
          <cell r="P46">
            <v>1886.64</v>
          </cell>
          <cell r="V46">
            <v>87324.479999999996</v>
          </cell>
          <cell r="Z46">
            <v>23717.759999999998</v>
          </cell>
          <cell r="AA46">
            <v>1078.08</v>
          </cell>
          <cell r="AB46">
            <v>808.56</v>
          </cell>
          <cell r="AC46">
            <v>269.52</v>
          </cell>
          <cell r="AD46">
            <v>12667.44</v>
          </cell>
          <cell r="AE46">
            <v>12667.44</v>
          </cell>
          <cell r="AJ46">
            <v>83820.72</v>
          </cell>
          <cell r="AO46">
            <v>43931.76</v>
          </cell>
          <cell r="AS46">
            <v>25604.400000000001</v>
          </cell>
          <cell r="AW46">
            <v>22639.68</v>
          </cell>
          <cell r="AZ46">
            <v>39349.919999999998</v>
          </cell>
          <cell r="BA46">
            <v>38810.879999999997</v>
          </cell>
        </row>
        <row r="47">
          <cell r="N47">
            <v>323282.53999999998</v>
          </cell>
          <cell r="O47">
            <v>6878.35</v>
          </cell>
          <cell r="P47">
            <v>3703.73</v>
          </cell>
          <cell r="V47">
            <v>171429.7</v>
          </cell>
          <cell r="Z47">
            <v>46561.15</v>
          </cell>
          <cell r="AA47">
            <v>2116.42</v>
          </cell>
          <cell r="AC47">
            <v>529.1</v>
          </cell>
          <cell r="AD47">
            <v>24867.89</v>
          </cell>
          <cell r="AE47">
            <v>24867.89</v>
          </cell>
          <cell r="AO47">
            <v>86243.95</v>
          </cell>
          <cell r="AS47">
            <v>50264.88</v>
          </cell>
          <cell r="AW47">
            <v>44444.74</v>
          </cell>
          <cell r="AZ47">
            <v>77249.179999999993</v>
          </cell>
          <cell r="BA47">
            <v>76190.98</v>
          </cell>
        </row>
        <row r="48">
          <cell r="N48">
            <v>197128.15</v>
          </cell>
          <cell r="O48">
            <v>4194.22</v>
          </cell>
          <cell r="P48">
            <v>2258.42</v>
          </cell>
          <cell r="V48">
            <v>104532.77</v>
          </cell>
          <cell r="Z48">
            <v>28391.62</v>
          </cell>
          <cell r="AA48">
            <v>1290.53</v>
          </cell>
          <cell r="AC48">
            <v>322.63</v>
          </cell>
          <cell r="AD48">
            <v>15163.7</v>
          </cell>
          <cell r="AE48">
            <v>15163.7</v>
          </cell>
          <cell r="AJ48">
            <v>100338.55</v>
          </cell>
          <cell r="AO48">
            <v>52589.02</v>
          </cell>
          <cell r="AS48">
            <v>30650.04</v>
          </cell>
          <cell r="AW48">
            <v>27101.09</v>
          </cell>
          <cell r="AZ48">
            <v>47104.27</v>
          </cell>
          <cell r="BA48">
            <v>46459.01</v>
          </cell>
        </row>
        <row r="49">
          <cell r="N49">
            <v>116395.5</v>
          </cell>
          <cell r="P49">
            <v>1333.5</v>
          </cell>
          <cell r="V49">
            <v>61722</v>
          </cell>
          <cell r="Z49">
            <v>16764</v>
          </cell>
          <cell r="AA49">
            <v>762</v>
          </cell>
          <cell r="AB49">
            <v>571.5</v>
          </cell>
          <cell r="AC49">
            <v>190.5</v>
          </cell>
          <cell r="AD49">
            <v>8953.5</v>
          </cell>
          <cell r="AE49">
            <v>8953.5</v>
          </cell>
          <cell r="AO49">
            <v>31051.5</v>
          </cell>
          <cell r="AS49">
            <v>34099.5</v>
          </cell>
          <cell r="AW49">
            <v>16192.5</v>
          </cell>
          <cell r="AZ49">
            <v>27813</v>
          </cell>
          <cell r="BA49">
            <v>27432</v>
          </cell>
          <cell r="BE49">
            <v>150552.72</v>
          </cell>
        </row>
        <row r="50">
          <cell r="I50">
            <v>2810.3</v>
          </cell>
          <cell r="N50">
            <v>206051.20000000001</v>
          </cell>
          <cell r="P50">
            <v>2360.65</v>
          </cell>
          <cell r="V50">
            <v>192561.76</v>
          </cell>
          <cell r="Z50">
            <v>29676.77</v>
          </cell>
          <cell r="AA50">
            <v>1348.94</v>
          </cell>
          <cell r="AB50">
            <v>1011.71</v>
          </cell>
          <cell r="AC50">
            <v>337.24</v>
          </cell>
          <cell r="AD50">
            <v>15850.09</v>
          </cell>
          <cell r="AE50">
            <v>15850.09</v>
          </cell>
          <cell r="AJ50">
            <v>104880.4</v>
          </cell>
          <cell r="AO50">
            <v>54969.47</v>
          </cell>
          <cell r="AS50">
            <v>60365.24</v>
          </cell>
          <cell r="AW50">
            <v>28665.06</v>
          </cell>
          <cell r="AZ50">
            <v>49236.46</v>
          </cell>
          <cell r="BA50">
            <v>48561.98</v>
          </cell>
        </row>
        <row r="51">
          <cell r="I51">
            <v>1979.4</v>
          </cell>
          <cell r="N51">
            <v>145129.60999999999</v>
          </cell>
          <cell r="O51">
            <v>3087.86</v>
          </cell>
          <cell r="P51">
            <v>1662.7</v>
          </cell>
          <cell r="V51">
            <v>76959.070000000007</v>
          </cell>
          <cell r="Z51">
            <v>20902.46</v>
          </cell>
          <cell r="AA51">
            <v>950.11</v>
          </cell>
          <cell r="AB51">
            <v>712.58</v>
          </cell>
          <cell r="AC51">
            <v>237.53</v>
          </cell>
          <cell r="AD51">
            <v>11163.82</v>
          </cell>
          <cell r="AE51">
            <v>11163.82</v>
          </cell>
          <cell r="AJ51">
            <v>73871.210000000006</v>
          </cell>
          <cell r="AO51">
            <v>38717.06</v>
          </cell>
          <cell r="AS51">
            <v>42517.51</v>
          </cell>
          <cell r="AW51">
            <v>20189.88</v>
          </cell>
          <cell r="AZ51">
            <v>34679.089999999997</v>
          </cell>
          <cell r="BA51">
            <v>34204.03</v>
          </cell>
        </row>
        <row r="52">
          <cell r="N52">
            <v>200339.57</v>
          </cell>
          <cell r="O52">
            <v>4262.54</v>
          </cell>
          <cell r="P52">
            <v>2295.2199999999998</v>
          </cell>
          <cell r="V52">
            <v>106235.71</v>
          </cell>
          <cell r="Z52">
            <v>28854.14</v>
          </cell>
          <cell r="AA52">
            <v>1311.55</v>
          </cell>
          <cell r="AC52">
            <v>327.89</v>
          </cell>
          <cell r="AD52">
            <v>15410.74</v>
          </cell>
          <cell r="AE52">
            <v>15410.74</v>
          </cell>
          <cell r="AJ52">
            <v>101973.17</v>
          </cell>
          <cell r="AO52">
            <v>53445.74</v>
          </cell>
          <cell r="AS52">
            <v>31149.360000000001</v>
          </cell>
          <cell r="AW52">
            <v>27542.59</v>
          </cell>
          <cell r="AZ52">
            <v>47871.65</v>
          </cell>
          <cell r="BA52">
            <v>47215.87</v>
          </cell>
        </row>
        <row r="53">
          <cell r="N53">
            <v>195874.38</v>
          </cell>
          <cell r="O53">
            <v>4167.54</v>
          </cell>
          <cell r="P53">
            <v>2244.06</v>
          </cell>
          <cell r="V53">
            <v>103867.92</v>
          </cell>
          <cell r="Z53">
            <v>28211.040000000001</v>
          </cell>
          <cell r="AA53">
            <v>1282.32</v>
          </cell>
          <cell r="AB53">
            <v>961.74</v>
          </cell>
          <cell r="AC53">
            <v>320.58</v>
          </cell>
          <cell r="AD53">
            <v>15067.26</v>
          </cell>
          <cell r="AE53">
            <v>15067.26</v>
          </cell>
          <cell r="AO53">
            <v>52254.54</v>
          </cell>
          <cell r="AS53">
            <v>30455.1</v>
          </cell>
          <cell r="AW53">
            <v>26928.720000000001</v>
          </cell>
          <cell r="AZ53">
            <v>46804.68</v>
          </cell>
          <cell r="BA53">
            <v>46163.519999999997</v>
          </cell>
        </row>
        <row r="54">
          <cell r="I54">
            <v>5117.2</v>
          </cell>
          <cell r="N54">
            <v>375193.1</v>
          </cell>
          <cell r="P54">
            <v>4298.45</v>
          </cell>
          <cell r="T54">
            <v>257292.82</v>
          </cell>
          <cell r="V54">
            <v>198956.74</v>
          </cell>
          <cell r="Z54">
            <v>54037.63</v>
          </cell>
          <cell r="AA54">
            <v>2456.2600000000002</v>
          </cell>
          <cell r="AB54">
            <v>1842.19</v>
          </cell>
          <cell r="AC54">
            <v>614.05999999999995</v>
          </cell>
          <cell r="AD54">
            <v>28861.01</v>
          </cell>
          <cell r="AE54">
            <v>28861.01</v>
          </cell>
          <cell r="AO54">
            <v>100092.43</v>
          </cell>
          <cell r="AS54">
            <v>109917.46</v>
          </cell>
          <cell r="AW54">
            <v>52195.44</v>
          </cell>
          <cell r="AZ54">
            <v>89653.34</v>
          </cell>
          <cell r="BA54">
            <v>88425.22</v>
          </cell>
        </row>
        <row r="55">
          <cell r="N55">
            <v>198557.89</v>
          </cell>
          <cell r="O55">
            <v>4224.6400000000003</v>
          </cell>
          <cell r="P55">
            <v>2274.8000000000002</v>
          </cell>
          <cell r="V55">
            <v>105290.93</v>
          </cell>
          <cell r="Y55">
            <v>28597.54</v>
          </cell>
          <cell r="AA55">
            <v>1299.8900000000001</v>
          </cell>
          <cell r="AC55">
            <v>324.97000000000003</v>
          </cell>
          <cell r="AD55">
            <v>15273.68</v>
          </cell>
          <cell r="AE55">
            <v>15273.68</v>
          </cell>
          <cell r="AJ55">
            <v>101066.29</v>
          </cell>
          <cell r="AO55">
            <v>52970.44</v>
          </cell>
          <cell r="AS55">
            <v>30872.34</v>
          </cell>
          <cell r="AW55">
            <v>27297.65</v>
          </cell>
          <cell r="AZ55">
            <v>47445.91</v>
          </cell>
          <cell r="BA55">
            <v>46795.97</v>
          </cell>
        </row>
        <row r="56">
          <cell r="N56">
            <v>198330.6</v>
          </cell>
          <cell r="O56">
            <v>4219.8</v>
          </cell>
          <cell r="P56">
            <v>2272.1999999999998</v>
          </cell>
          <cell r="V56">
            <v>105170.4</v>
          </cell>
          <cell r="Y56">
            <v>28564.799999999999</v>
          </cell>
          <cell r="AA56">
            <v>1298.4000000000001</v>
          </cell>
          <cell r="AB56">
            <v>973.8</v>
          </cell>
          <cell r="AC56">
            <v>324.60000000000002</v>
          </cell>
          <cell r="AD56">
            <v>15256.2</v>
          </cell>
          <cell r="AE56">
            <v>15256.2</v>
          </cell>
          <cell r="AJ56">
            <v>100950.6</v>
          </cell>
          <cell r="AO56">
            <v>52909.8</v>
          </cell>
          <cell r="AS56">
            <v>30837</v>
          </cell>
          <cell r="AW56">
            <v>27266.400000000001</v>
          </cell>
          <cell r="AZ56">
            <v>47391.6</v>
          </cell>
          <cell r="BA56">
            <v>46742.400000000001</v>
          </cell>
        </row>
        <row r="57">
          <cell r="N57">
            <v>198455.24</v>
          </cell>
          <cell r="O57">
            <v>4222.45</v>
          </cell>
          <cell r="P57">
            <v>2273.63</v>
          </cell>
          <cell r="V57">
            <v>105236.5</v>
          </cell>
          <cell r="Y57">
            <v>28582.75</v>
          </cell>
          <cell r="AA57">
            <v>1299.22</v>
          </cell>
          <cell r="AC57">
            <v>324.8</v>
          </cell>
          <cell r="AD57">
            <v>15265.79</v>
          </cell>
          <cell r="AE57">
            <v>15265.79</v>
          </cell>
          <cell r="AJ57">
            <v>101014.04</v>
          </cell>
          <cell r="AO57">
            <v>52943.05</v>
          </cell>
          <cell r="AS57">
            <v>30856.38</v>
          </cell>
          <cell r="AW57">
            <v>27283.54</v>
          </cell>
          <cell r="AZ57">
            <v>47421.38</v>
          </cell>
          <cell r="BA57">
            <v>46771.78</v>
          </cell>
        </row>
        <row r="58">
          <cell r="N58">
            <v>322879.28000000003</v>
          </cell>
          <cell r="O58">
            <v>6869.77</v>
          </cell>
          <cell r="P58">
            <v>3699.11</v>
          </cell>
          <cell r="V58">
            <v>171215.86</v>
          </cell>
          <cell r="Y58">
            <v>46503.07</v>
          </cell>
          <cell r="AA58">
            <v>2113.7800000000002</v>
          </cell>
          <cell r="AC58">
            <v>528.44000000000005</v>
          </cell>
          <cell r="AD58">
            <v>24836.87</v>
          </cell>
          <cell r="AE58">
            <v>24836.87</v>
          </cell>
          <cell r="AJ58">
            <v>164346.07999999999</v>
          </cell>
          <cell r="AO58">
            <v>86136.37</v>
          </cell>
          <cell r="AS58">
            <v>50202.18</v>
          </cell>
          <cell r="AW58">
            <v>44389.3</v>
          </cell>
          <cell r="AZ58">
            <v>77152.820000000007</v>
          </cell>
          <cell r="BA58">
            <v>76095.94</v>
          </cell>
        </row>
        <row r="59">
          <cell r="N59">
            <v>321104.94</v>
          </cell>
          <cell r="O59">
            <v>6832.02</v>
          </cell>
          <cell r="P59">
            <v>3678.78</v>
          </cell>
          <cell r="V59">
            <v>170274.96</v>
          </cell>
          <cell r="Z59">
            <v>46247.519999999997</v>
          </cell>
          <cell r="AA59">
            <v>2102.16</v>
          </cell>
          <cell r="AB59">
            <v>1576.62</v>
          </cell>
          <cell r="AC59">
            <v>525.54</v>
          </cell>
          <cell r="AD59">
            <v>24700.38</v>
          </cell>
          <cell r="AE59">
            <v>24700.38</v>
          </cell>
          <cell r="AO59">
            <v>85663.02</v>
          </cell>
          <cell r="AS59">
            <v>94071.66</v>
          </cell>
          <cell r="AW59">
            <v>44670.9</v>
          </cell>
          <cell r="AZ59">
            <v>76728.84</v>
          </cell>
          <cell r="BA59">
            <v>75677.759999999995</v>
          </cell>
        </row>
        <row r="60">
          <cell r="N60">
            <v>97390.96</v>
          </cell>
          <cell r="P60">
            <v>1115.77</v>
          </cell>
          <cell r="V60">
            <v>51644.3</v>
          </cell>
          <cell r="Z60">
            <v>14026.85</v>
          </cell>
          <cell r="AA60">
            <v>637.58000000000004</v>
          </cell>
          <cell r="AB60">
            <v>478.19</v>
          </cell>
          <cell r="AC60">
            <v>159.4</v>
          </cell>
          <cell r="AD60">
            <v>7491.61</v>
          </cell>
          <cell r="AE60">
            <v>7491.61</v>
          </cell>
          <cell r="AO60">
            <v>25981.55</v>
          </cell>
          <cell r="AS60">
            <v>15142.62</v>
          </cell>
          <cell r="AW60">
            <v>13389.26</v>
          </cell>
          <cell r="AZ60">
            <v>23271.82</v>
          </cell>
          <cell r="BA60">
            <v>22953.02</v>
          </cell>
        </row>
        <row r="61">
          <cell r="N61">
            <v>97178.33</v>
          </cell>
          <cell r="P61">
            <v>1113.3399999999999</v>
          </cell>
          <cell r="V61">
            <v>51531.55</v>
          </cell>
          <cell r="Z61">
            <v>13996.22</v>
          </cell>
          <cell r="AA61">
            <v>636.19000000000005</v>
          </cell>
          <cell r="AC61">
            <v>159.05000000000001</v>
          </cell>
          <cell r="AD61">
            <v>7475.26</v>
          </cell>
          <cell r="AE61">
            <v>7475.26</v>
          </cell>
          <cell r="AO61">
            <v>25924.82</v>
          </cell>
          <cell r="AS61">
            <v>15109.56</v>
          </cell>
          <cell r="AW61">
            <v>13360.03</v>
          </cell>
          <cell r="AZ61">
            <v>23221.01</v>
          </cell>
          <cell r="BA61">
            <v>22902.91</v>
          </cell>
        </row>
        <row r="62">
          <cell r="N62">
            <v>131682.72</v>
          </cell>
          <cell r="O62">
            <v>2801.76</v>
          </cell>
          <cell r="P62">
            <v>1508.64</v>
          </cell>
          <cell r="V62">
            <v>69828.479999999996</v>
          </cell>
          <cell r="Z62">
            <v>18965.759999999998</v>
          </cell>
          <cell r="AA62">
            <v>862.08</v>
          </cell>
          <cell r="AB62">
            <v>646.55999999999995</v>
          </cell>
          <cell r="AC62">
            <v>215.52</v>
          </cell>
          <cell r="AD62">
            <v>10129.44</v>
          </cell>
          <cell r="AE62">
            <v>10129.44</v>
          </cell>
          <cell r="AO62">
            <v>35129.760000000002</v>
          </cell>
          <cell r="AS62">
            <v>38578.080000000002</v>
          </cell>
          <cell r="AW62">
            <v>18319.2</v>
          </cell>
          <cell r="AZ62">
            <v>31465.919999999998</v>
          </cell>
          <cell r="BA62">
            <v>31034.880000000001</v>
          </cell>
        </row>
        <row r="63">
          <cell r="N63">
            <v>197333.45</v>
          </cell>
          <cell r="O63">
            <v>4198.58</v>
          </cell>
          <cell r="P63">
            <v>2260.7800000000002</v>
          </cell>
          <cell r="V63">
            <v>104641.63</v>
          </cell>
          <cell r="Z63">
            <v>28421.18</v>
          </cell>
          <cell r="AA63">
            <v>1291.8699999999999</v>
          </cell>
          <cell r="AC63">
            <v>322.97000000000003</v>
          </cell>
          <cell r="AD63">
            <v>15179.5</v>
          </cell>
          <cell r="AE63">
            <v>15179.5</v>
          </cell>
          <cell r="AJ63">
            <v>100443.05</v>
          </cell>
          <cell r="AO63">
            <v>52643.78</v>
          </cell>
          <cell r="AS63">
            <v>30681.96</v>
          </cell>
          <cell r="AW63">
            <v>27129.31</v>
          </cell>
          <cell r="AZ63">
            <v>47153.33</v>
          </cell>
          <cell r="BA63">
            <v>46507.39</v>
          </cell>
        </row>
        <row r="64">
          <cell r="N64">
            <v>219593.4</v>
          </cell>
          <cell r="P64">
            <v>2515.8000000000002</v>
          </cell>
          <cell r="V64">
            <v>116445.6</v>
          </cell>
          <cell r="Z64">
            <v>31627.200000000001</v>
          </cell>
          <cell r="AA64">
            <v>1437.6</v>
          </cell>
          <cell r="AB64">
            <v>1078.2</v>
          </cell>
          <cell r="AC64">
            <v>359.4</v>
          </cell>
          <cell r="AD64">
            <v>16891.8</v>
          </cell>
          <cell r="AE64">
            <v>16891.8</v>
          </cell>
          <cell r="AJ64">
            <v>84099.6</v>
          </cell>
          <cell r="AO64">
            <v>58582.2</v>
          </cell>
          <cell r="AS64">
            <v>64332.6</v>
          </cell>
          <cell r="AW64">
            <v>30549</v>
          </cell>
          <cell r="AZ64">
            <v>52472.4</v>
          </cell>
          <cell r="BA64">
            <v>51753.599999999999</v>
          </cell>
          <cell r="BE64">
            <v>448890.6</v>
          </cell>
        </row>
        <row r="65">
          <cell r="N65">
            <v>92647.15</v>
          </cell>
          <cell r="O65">
            <v>1971.22</v>
          </cell>
          <cell r="P65">
            <v>1061.42</v>
          </cell>
          <cell r="V65">
            <v>49128.77</v>
          </cell>
          <cell r="Z65">
            <v>13343.62</v>
          </cell>
          <cell r="AA65">
            <v>606.53</v>
          </cell>
          <cell r="AB65">
            <v>454.9</v>
          </cell>
          <cell r="AC65">
            <v>151.63</v>
          </cell>
          <cell r="AD65">
            <v>7126.7</v>
          </cell>
          <cell r="AE65">
            <v>7126.7</v>
          </cell>
          <cell r="AO65">
            <v>24716.02</v>
          </cell>
          <cell r="AS65">
            <v>14405.04</v>
          </cell>
          <cell r="AW65">
            <v>12737.09</v>
          </cell>
          <cell r="AZ65">
            <v>22138.27</v>
          </cell>
          <cell r="BA65">
            <v>21835.01</v>
          </cell>
        </row>
        <row r="66">
          <cell r="N66">
            <v>145672.18</v>
          </cell>
          <cell r="O66">
            <v>3099.41</v>
          </cell>
          <cell r="P66">
            <v>1668.91</v>
          </cell>
          <cell r="V66">
            <v>77246.78</v>
          </cell>
          <cell r="Z66">
            <v>20980.61</v>
          </cell>
          <cell r="AA66">
            <v>953.66</v>
          </cell>
          <cell r="AC66">
            <v>238.42</v>
          </cell>
          <cell r="AD66">
            <v>11205.55</v>
          </cell>
          <cell r="AE66">
            <v>11205.55</v>
          </cell>
          <cell r="AO66">
            <v>38861.81</v>
          </cell>
          <cell r="AS66">
            <v>22649.52</v>
          </cell>
          <cell r="AW66">
            <v>20026.939999999999</v>
          </cell>
          <cell r="AZ66">
            <v>34808.74</v>
          </cell>
          <cell r="BA66">
            <v>34331.9</v>
          </cell>
        </row>
        <row r="67">
          <cell r="I67">
            <v>1587.7</v>
          </cell>
          <cell r="N67">
            <v>116410.16</v>
          </cell>
          <cell r="P67">
            <v>1333.67</v>
          </cell>
          <cell r="V67">
            <v>61729.78</v>
          </cell>
          <cell r="Z67">
            <v>16766.11</v>
          </cell>
          <cell r="AA67">
            <v>762.1</v>
          </cell>
          <cell r="AB67">
            <v>571.57000000000005</v>
          </cell>
          <cell r="AC67">
            <v>190.52</v>
          </cell>
          <cell r="AD67">
            <v>8954.6299999999992</v>
          </cell>
          <cell r="AE67">
            <v>8954.6299999999992</v>
          </cell>
          <cell r="AO67">
            <v>31055.41</v>
          </cell>
          <cell r="AS67">
            <v>18099.78</v>
          </cell>
          <cell r="AW67">
            <v>16004.02</v>
          </cell>
          <cell r="AZ67">
            <v>27816.5</v>
          </cell>
          <cell r="BA67">
            <v>27435.46</v>
          </cell>
        </row>
        <row r="68">
          <cell r="N68">
            <v>197186.81</v>
          </cell>
          <cell r="O68">
            <v>4195.46</v>
          </cell>
          <cell r="P68">
            <v>2259.1</v>
          </cell>
          <cell r="V68">
            <v>104563.87</v>
          </cell>
          <cell r="Z68">
            <v>28400.06</v>
          </cell>
          <cell r="AA68">
            <v>1290.9100000000001</v>
          </cell>
          <cell r="AB68">
            <v>968.18</v>
          </cell>
          <cell r="AC68">
            <v>322.73</v>
          </cell>
          <cell r="AD68">
            <v>15168.22</v>
          </cell>
          <cell r="AE68">
            <v>15168.22</v>
          </cell>
          <cell r="AO68">
            <v>52604.66</v>
          </cell>
          <cell r="AS68">
            <v>57768.31</v>
          </cell>
          <cell r="AW68">
            <v>27431.88</v>
          </cell>
          <cell r="AZ68">
            <v>47118.29</v>
          </cell>
          <cell r="BA68">
            <v>46472.83</v>
          </cell>
        </row>
        <row r="69">
          <cell r="N69">
            <v>140026.54</v>
          </cell>
          <cell r="O69">
            <v>2979.29</v>
          </cell>
          <cell r="P69">
            <v>1604.23</v>
          </cell>
          <cell r="V69">
            <v>74253.02</v>
          </cell>
          <cell r="Z69">
            <v>0</v>
          </cell>
          <cell r="AA69">
            <v>916.7</v>
          </cell>
          <cell r="AC69">
            <v>229.18</v>
          </cell>
          <cell r="AD69">
            <v>10771.27</v>
          </cell>
          <cell r="AE69">
            <v>10771.27</v>
          </cell>
          <cell r="AJ69">
            <v>71273.740000000005</v>
          </cell>
          <cell r="AO69">
            <v>37355.69</v>
          </cell>
          <cell r="AS69">
            <v>41022.5</v>
          </cell>
          <cell r="AW69">
            <v>19479.96</v>
          </cell>
          <cell r="AZ69">
            <v>33459.699999999997</v>
          </cell>
          <cell r="BA69">
            <v>33001.339999999997</v>
          </cell>
          <cell r="BC69">
            <v>55460.59</v>
          </cell>
        </row>
        <row r="70">
          <cell r="N70">
            <v>196299.64</v>
          </cell>
          <cell r="O70">
            <v>4176.59</v>
          </cell>
          <cell r="P70">
            <v>2248.9299999999998</v>
          </cell>
          <cell r="V70">
            <v>104093.42</v>
          </cell>
          <cell r="Z70">
            <v>28272.29</v>
          </cell>
          <cell r="AA70">
            <v>1285.0999999999999</v>
          </cell>
          <cell r="AB70">
            <v>963.83</v>
          </cell>
          <cell r="AC70">
            <v>321.27999999999997</v>
          </cell>
          <cell r="AD70">
            <v>15099.97</v>
          </cell>
          <cell r="AE70">
            <v>15099.97</v>
          </cell>
          <cell r="AJ70">
            <v>99916.84</v>
          </cell>
          <cell r="AO70">
            <v>52367.99</v>
          </cell>
          <cell r="AS70">
            <v>57508.4</v>
          </cell>
          <cell r="AW70">
            <v>27308.46</v>
          </cell>
          <cell r="AZ70">
            <v>46906.3</v>
          </cell>
          <cell r="BA70">
            <v>46263.74</v>
          </cell>
        </row>
        <row r="71">
          <cell r="I71">
            <v>2687.5</v>
          </cell>
          <cell r="N71">
            <v>197047.5</v>
          </cell>
          <cell r="O71">
            <v>4192.5</v>
          </cell>
          <cell r="P71">
            <v>2257.5</v>
          </cell>
          <cell r="V71">
            <v>104490</v>
          </cell>
          <cell r="Z71">
            <v>28380</v>
          </cell>
          <cell r="AA71">
            <v>1290</v>
          </cell>
          <cell r="AB71">
            <v>967.5</v>
          </cell>
          <cell r="AC71">
            <v>322.5</v>
          </cell>
          <cell r="AD71">
            <v>15157.5</v>
          </cell>
          <cell r="AE71">
            <v>15157.5</v>
          </cell>
          <cell r="AJ71">
            <v>100297.5</v>
          </cell>
          <cell r="AO71">
            <v>52567.5</v>
          </cell>
          <cell r="AS71">
            <v>57727.5</v>
          </cell>
          <cell r="AW71">
            <v>27412.5</v>
          </cell>
          <cell r="AZ71">
            <v>47085</v>
          </cell>
          <cell r="BA71">
            <v>46440</v>
          </cell>
        </row>
        <row r="72">
          <cell r="N72">
            <v>146984.6</v>
          </cell>
          <cell r="O72">
            <v>3127.33</v>
          </cell>
          <cell r="P72">
            <v>1683.95</v>
          </cell>
          <cell r="V72">
            <v>77942.740000000005</v>
          </cell>
          <cell r="Z72">
            <v>21169.63</v>
          </cell>
          <cell r="AA72">
            <v>962.26</v>
          </cell>
          <cell r="AB72">
            <v>721.69</v>
          </cell>
          <cell r="AC72">
            <v>240.56</v>
          </cell>
          <cell r="AD72">
            <v>11306.51</v>
          </cell>
          <cell r="AE72">
            <v>11306.51</v>
          </cell>
          <cell r="AO72">
            <v>39211.93</v>
          </cell>
          <cell r="AS72">
            <v>22853.58</v>
          </cell>
          <cell r="AW72">
            <v>20207.38</v>
          </cell>
          <cell r="AZ72">
            <v>35122.339999999997</v>
          </cell>
          <cell r="BA72">
            <v>34641.22</v>
          </cell>
        </row>
        <row r="73">
          <cell r="I73">
            <v>5334.9</v>
          </cell>
          <cell r="N73">
            <v>391154.87</v>
          </cell>
          <cell r="O73">
            <v>8322.44</v>
          </cell>
          <cell r="P73">
            <v>4481.32</v>
          </cell>
          <cell r="V73">
            <v>207420.91</v>
          </cell>
          <cell r="Z73">
            <v>56336.54</v>
          </cell>
          <cell r="AA73">
            <v>2560.75</v>
          </cell>
          <cell r="AC73">
            <v>640.19000000000005</v>
          </cell>
          <cell r="AD73">
            <v>30088.84</v>
          </cell>
          <cell r="AE73">
            <v>30088.84</v>
          </cell>
          <cell r="AO73">
            <v>104350.64</v>
          </cell>
          <cell r="AS73">
            <v>60817.86</v>
          </cell>
          <cell r="AW73">
            <v>53775.79</v>
          </cell>
          <cell r="AZ73">
            <v>93467.45</v>
          </cell>
          <cell r="BA73">
            <v>92187.07</v>
          </cell>
        </row>
        <row r="74">
          <cell r="N74">
            <v>162550.44</v>
          </cell>
          <cell r="O74">
            <v>3458.52</v>
          </cell>
          <cell r="P74">
            <v>1862.28</v>
          </cell>
          <cell r="V74">
            <v>86196.96</v>
          </cell>
          <cell r="Z74">
            <v>23411.52</v>
          </cell>
          <cell r="AA74">
            <v>1064.1600000000001</v>
          </cell>
          <cell r="AB74">
            <v>798.12</v>
          </cell>
          <cell r="AC74">
            <v>266.04000000000002</v>
          </cell>
          <cell r="AD74">
            <v>12503.88</v>
          </cell>
          <cell r="AE74">
            <v>12503.88</v>
          </cell>
          <cell r="AJ74">
            <v>82738.44</v>
          </cell>
          <cell r="AO74">
            <v>43364.52</v>
          </cell>
          <cell r="AS74">
            <v>25273.8</v>
          </cell>
          <cell r="AW74">
            <v>22347.360000000001</v>
          </cell>
          <cell r="AZ74">
            <v>38841.839999999997</v>
          </cell>
          <cell r="BA74">
            <v>38309.760000000002</v>
          </cell>
        </row>
        <row r="75">
          <cell r="N75">
            <v>317270.3</v>
          </cell>
          <cell r="O75">
            <v>6750.43</v>
          </cell>
          <cell r="P75">
            <v>3634.85</v>
          </cell>
          <cell r="V75">
            <v>168241.54</v>
          </cell>
          <cell r="Y75">
            <v>45695.23</v>
          </cell>
          <cell r="AA75">
            <v>2077.06</v>
          </cell>
          <cell r="AB75">
            <v>1557.79</v>
          </cell>
          <cell r="AC75">
            <v>519.26</v>
          </cell>
          <cell r="AD75">
            <v>24405.41</v>
          </cell>
          <cell r="AE75">
            <v>24405.41</v>
          </cell>
          <cell r="AO75">
            <v>84640.03</v>
          </cell>
          <cell r="AS75">
            <v>49330.080000000002</v>
          </cell>
          <cell r="AW75">
            <v>43618.18</v>
          </cell>
          <cell r="AZ75">
            <v>75812.539999999994</v>
          </cell>
          <cell r="BA75">
            <v>74774.02</v>
          </cell>
        </row>
        <row r="76">
          <cell r="N76">
            <v>199423.07</v>
          </cell>
          <cell r="O76">
            <v>4243.04</v>
          </cell>
          <cell r="P76">
            <v>2284.7199999999998</v>
          </cell>
          <cell r="V76">
            <v>105749.71</v>
          </cell>
          <cell r="Z76">
            <v>28722.14</v>
          </cell>
          <cell r="AA76">
            <v>1305.55</v>
          </cell>
          <cell r="AC76">
            <v>326.39</v>
          </cell>
          <cell r="AD76">
            <v>15340.24</v>
          </cell>
          <cell r="AE76">
            <v>15340.24</v>
          </cell>
          <cell r="AJ76">
            <v>101506.67</v>
          </cell>
          <cell r="AO76">
            <v>53201.24</v>
          </cell>
          <cell r="AS76">
            <v>58423.45</v>
          </cell>
          <cell r="AW76">
            <v>27742.98</v>
          </cell>
          <cell r="AZ76">
            <v>47652.65</v>
          </cell>
          <cell r="BA76">
            <v>46999.87</v>
          </cell>
        </row>
        <row r="77">
          <cell r="N77">
            <v>186624.18</v>
          </cell>
          <cell r="O77">
            <v>5818.02</v>
          </cell>
          <cell r="P77">
            <v>3132.78</v>
          </cell>
          <cell r="V77">
            <v>145002.96</v>
          </cell>
          <cell r="Z77">
            <v>39383.519999999997</v>
          </cell>
          <cell r="AA77">
            <v>1790.16</v>
          </cell>
          <cell r="AB77">
            <v>1342.62</v>
          </cell>
          <cell r="AC77">
            <v>447.54</v>
          </cell>
          <cell r="AD77">
            <v>21034.38</v>
          </cell>
          <cell r="AE77">
            <v>21034.38</v>
          </cell>
          <cell r="AO77">
            <v>72949.02</v>
          </cell>
          <cell r="AS77">
            <v>80109.66</v>
          </cell>
          <cell r="AW77">
            <v>38040.9</v>
          </cell>
          <cell r="BA77">
            <v>64445.760000000002</v>
          </cell>
          <cell r="BE77">
            <v>319096.02</v>
          </cell>
        </row>
        <row r="78">
          <cell r="I78">
            <v>4752.5</v>
          </cell>
          <cell r="N78">
            <v>237815.1</v>
          </cell>
          <cell r="O78">
            <v>7413.9</v>
          </cell>
          <cell r="P78">
            <v>3992.1</v>
          </cell>
          <cell r="V78">
            <v>184777.2</v>
          </cell>
          <cell r="Z78">
            <v>50186.400000000001</v>
          </cell>
          <cell r="AA78">
            <v>2281.1999999999998</v>
          </cell>
          <cell r="AB78">
            <v>1710.9</v>
          </cell>
          <cell r="AC78">
            <v>570.29999999999995</v>
          </cell>
          <cell r="AD78">
            <v>26804.1</v>
          </cell>
          <cell r="AE78">
            <v>26804.1</v>
          </cell>
          <cell r="AO78">
            <v>92958.9</v>
          </cell>
          <cell r="AS78">
            <v>102083.7</v>
          </cell>
          <cell r="AW78">
            <v>48475.5</v>
          </cell>
          <cell r="BA78">
            <v>82123.199999999997</v>
          </cell>
          <cell r="BE78">
            <v>406623.9</v>
          </cell>
        </row>
        <row r="79">
          <cell r="I79">
            <v>3924.1</v>
          </cell>
          <cell r="N79">
            <v>196361.96</v>
          </cell>
          <cell r="O79">
            <v>6121.6</v>
          </cell>
          <cell r="P79">
            <v>3296.24</v>
          </cell>
          <cell r="V79">
            <v>152569.01</v>
          </cell>
          <cell r="Z79">
            <v>41438.5</v>
          </cell>
          <cell r="AA79">
            <v>1883.57</v>
          </cell>
          <cell r="AB79">
            <v>1412.68</v>
          </cell>
          <cell r="AC79">
            <v>470.89</v>
          </cell>
          <cell r="AD79">
            <v>22131.919999999998</v>
          </cell>
          <cell r="AE79">
            <v>22131.919999999998</v>
          </cell>
          <cell r="AO79">
            <v>76755.399999999994</v>
          </cell>
          <cell r="AS79">
            <v>84289.67</v>
          </cell>
          <cell r="AW79">
            <v>40025.82</v>
          </cell>
          <cell r="BA79">
            <v>67808.45</v>
          </cell>
          <cell r="BE79">
            <v>335746</v>
          </cell>
        </row>
        <row r="80">
          <cell r="I80">
            <v>1926.3</v>
          </cell>
          <cell r="N80">
            <v>141236.32</v>
          </cell>
          <cell r="O80">
            <v>3005.03</v>
          </cell>
          <cell r="P80">
            <v>1618.09</v>
          </cell>
          <cell r="V80">
            <v>74894.539999999994</v>
          </cell>
          <cell r="Z80">
            <v>20341.73</v>
          </cell>
          <cell r="AA80">
            <v>924.62</v>
          </cell>
          <cell r="AB80">
            <v>693.47</v>
          </cell>
          <cell r="AC80">
            <v>231.16</v>
          </cell>
          <cell r="AD80">
            <v>10864.33</v>
          </cell>
          <cell r="AE80">
            <v>10864.33</v>
          </cell>
          <cell r="AJ80">
            <v>48773.919999999998</v>
          </cell>
          <cell r="AO80">
            <v>37678.43</v>
          </cell>
          <cell r="AS80">
            <v>41376.92</v>
          </cell>
          <cell r="AW80">
            <v>19648.259999999998</v>
          </cell>
          <cell r="AZ80">
            <v>33748.78</v>
          </cell>
          <cell r="BA80">
            <v>33286.46</v>
          </cell>
          <cell r="BE80">
            <v>164814.23000000001</v>
          </cell>
        </row>
        <row r="81">
          <cell r="N81">
            <v>195397.8</v>
          </cell>
          <cell r="O81">
            <v>4157.3999999999996</v>
          </cell>
          <cell r="P81">
            <v>2238.6</v>
          </cell>
          <cell r="V81">
            <v>103615.2</v>
          </cell>
          <cell r="Z81">
            <v>28142.400000000001</v>
          </cell>
          <cell r="AA81">
            <v>1279.2</v>
          </cell>
          <cell r="AB81">
            <v>959.4</v>
          </cell>
          <cell r="AC81">
            <v>319.8</v>
          </cell>
          <cell r="AD81">
            <v>15030.6</v>
          </cell>
          <cell r="AE81">
            <v>15030.6</v>
          </cell>
          <cell r="AJ81">
            <v>99457.8</v>
          </cell>
          <cell r="AO81">
            <v>52127.4</v>
          </cell>
          <cell r="AS81">
            <v>57244.2</v>
          </cell>
          <cell r="AW81">
            <v>27183</v>
          </cell>
          <cell r="AZ81">
            <v>46690.8</v>
          </cell>
          <cell r="BA81">
            <v>46051.199999999997</v>
          </cell>
        </row>
        <row r="82">
          <cell r="N82">
            <v>174269.3</v>
          </cell>
          <cell r="O82">
            <v>5432.86</v>
          </cell>
          <cell r="P82">
            <v>2925.38</v>
          </cell>
          <cell r="V82">
            <v>135403.49</v>
          </cell>
          <cell r="Z82">
            <v>36776.26</v>
          </cell>
          <cell r="AA82">
            <v>1671.65</v>
          </cell>
          <cell r="AB82">
            <v>1253.74</v>
          </cell>
          <cell r="AC82">
            <v>417.91</v>
          </cell>
          <cell r="AD82">
            <v>19641.86</v>
          </cell>
          <cell r="AE82">
            <v>19641.86</v>
          </cell>
          <cell r="AJ82">
            <v>88179.43</v>
          </cell>
          <cell r="AO82">
            <v>68119.66</v>
          </cell>
          <cell r="AS82">
            <v>74806.25</v>
          </cell>
          <cell r="AW82">
            <v>35522.519999999997</v>
          </cell>
          <cell r="AZ82">
            <v>61015.15</v>
          </cell>
          <cell r="BA82">
            <v>60179.33</v>
          </cell>
          <cell r="BE82">
            <v>297971.26</v>
          </cell>
        </row>
        <row r="83">
          <cell r="I83">
            <v>6349</v>
          </cell>
          <cell r="N83">
            <v>465508.68</v>
          </cell>
          <cell r="O83">
            <v>9904.44</v>
          </cell>
          <cell r="P83">
            <v>5333.16</v>
          </cell>
          <cell r="V83">
            <v>246849.12</v>
          </cell>
          <cell r="Z83">
            <v>0</v>
          </cell>
          <cell r="AA83">
            <v>3047.52</v>
          </cell>
          <cell r="AB83">
            <v>2285.64</v>
          </cell>
          <cell r="AC83">
            <v>761.88</v>
          </cell>
          <cell r="AD83">
            <v>35808.36</v>
          </cell>
          <cell r="AE83">
            <v>35808.36</v>
          </cell>
          <cell r="AJ83">
            <v>236944.68</v>
          </cell>
          <cell r="AO83">
            <v>124186.44</v>
          </cell>
          <cell r="AS83">
            <v>136376.51999999999</v>
          </cell>
          <cell r="AW83">
            <v>64759.8</v>
          </cell>
          <cell r="AZ83">
            <v>111234.48</v>
          </cell>
          <cell r="BA83">
            <v>109710.72</v>
          </cell>
          <cell r="BC83">
            <v>184374.96</v>
          </cell>
          <cell r="BE83">
            <v>951588.12</v>
          </cell>
        </row>
        <row r="84">
          <cell r="I84">
            <v>1260</v>
          </cell>
          <cell r="N84">
            <v>92383.2</v>
          </cell>
          <cell r="O84">
            <v>1965.6</v>
          </cell>
          <cell r="P84">
            <v>1058.4000000000001</v>
          </cell>
          <cell r="V84">
            <v>48988.800000000003</v>
          </cell>
          <cell r="Z84">
            <v>13305.6</v>
          </cell>
          <cell r="AA84">
            <v>604.79999999999995</v>
          </cell>
          <cell r="AB84">
            <v>453.6</v>
          </cell>
          <cell r="AC84">
            <v>151.19999999999999</v>
          </cell>
          <cell r="AD84">
            <v>7106.4</v>
          </cell>
          <cell r="AE84">
            <v>7106.4</v>
          </cell>
          <cell r="AO84">
            <v>24645.599999999999</v>
          </cell>
          <cell r="AS84">
            <v>14364</v>
          </cell>
          <cell r="AW84">
            <v>12700.8</v>
          </cell>
          <cell r="AZ84">
            <v>22075.200000000001</v>
          </cell>
          <cell r="BA84">
            <v>21772.799999999999</v>
          </cell>
        </row>
        <row r="85">
          <cell r="I85">
            <v>1752.7</v>
          </cell>
          <cell r="N85">
            <v>128507.96</v>
          </cell>
          <cell r="O85">
            <v>2734.21</v>
          </cell>
          <cell r="P85">
            <v>1472.27</v>
          </cell>
          <cell r="V85">
            <v>68144.98</v>
          </cell>
          <cell r="Z85">
            <v>18508.509999999998</v>
          </cell>
          <cell r="AA85">
            <v>841.3</v>
          </cell>
          <cell r="AB85">
            <v>630.97</v>
          </cell>
          <cell r="AC85">
            <v>210.32</v>
          </cell>
          <cell r="AD85">
            <v>9885.23</v>
          </cell>
          <cell r="AE85">
            <v>9885.23</v>
          </cell>
          <cell r="AO85">
            <v>34282.81</v>
          </cell>
          <cell r="AS85">
            <v>19980.78</v>
          </cell>
          <cell r="AW85">
            <v>17667.22</v>
          </cell>
          <cell r="AZ85">
            <v>30707.3</v>
          </cell>
          <cell r="BA85">
            <v>30286.66</v>
          </cell>
        </row>
        <row r="86">
          <cell r="N86">
            <v>126293.7</v>
          </cell>
          <cell r="O86">
            <v>2687.1</v>
          </cell>
          <cell r="P86">
            <v>1446.9</v>
          </cell>
          <cell r="V86">
            <v>66970.8</v>
          </cell>
          <cell r="Z86">
            <v>18189.599999999999</v>
          </cell>
          <cell r="AA86">
            <v>826.8</v>
          </cell>
          <cell r="AB86">
            <v>620.1</v>
          </cell>
          <cell r="AC86">
            <v>206.7</v>
          </cell>
          <cell r="AD86">
            <v>9714.9</v>
          </cell>
          <cell r="AE86">
            <v>9714.9</v>
          </cell>
          <cell r="AO86">
            <v>33692.1</v>
          </cell>
          <cell r="AS86">
            <v>19636.5</v>
          </cell>
          <cell r="AW86">
            <v>17362.8</v>
          </cell>
          <cell r="AZ86">
            <v>30178.2</v>
          </cell>
          <cell r="BA86">
            <v>29764.799999999999</v>
          </cell>
        </row>
        <row r="87">
          <cell r="N87">
            <v>96041.87</v>
          </cell>
          <cell r="O87">
            <v>2043.44</v>
          </cell>
          <cell r="P87">
            <v>1100.32</v>
          </cell>
          <cell r="V87">
            <v>50928.91</v>
          </cell>
          <cell r="Z87">
            <v>13832.54</v>
          </cell>
          <cell r="AA87">
            <v>628.75</v>
          </cell>
          <cell r="AC87">
            <v>157.19</v>
          </cell>
          <cell r="AD87">
            <v>7387.84</v>
          </cell>
          <cell r="AE87">
            <v>7387.84</v>
          </cell>
          <cell r="AO87">
            <v>25621.64</v>
          </cell>
          <cell r="AS87">
            <v>14932.86</v>
          </cell>
          <cell r="AW87">
            <v>13203.79</v>
          </cell>
          <cell r="AZ87">
            <v>22949.45</v>
          </cell>
          <cell r="BA87">
            <v>22635.07</v>
          </cell>
        </row>
        <row r="88">
          <cell r="N88">
            <v>97508.27</v>
          </cell>
          <cell r="O88">
            <v>2074.64</v>
          </cell>
          <cell r="P88">
            <v>1117.1199999999999</v>
          </cell>
          <cell r="V88">
            <v>51706.51</v>
          </cell>
          <cell r="Z88">
            <v>14043.74</v>
          </cell>
          <cell r="AA88">
            <v>638.35</v>
          </cell>
          <cell r="AB88">
            <v>478.76</v>
          </cell>
          <cell r="AC88">
            <v>159.59</v>
          </cell>
          <cell r="AD88">
            <v>7500.64</v>
          </cell>
          <cell r="AE88">
            <v>7500.64</v>
          </cell>
          <cell r="AJ88">
            <v>49631.87</v>
          </cell>
          <cell r="AO88">
            <v>26012.84</v>
          </cell>
          <cell r="AS88">
            <v>15160.86</v>
          </cell>
          <cell r="AW88">
            <v>13405.39</v>
          </cell>
          <cell r="AZ88">
            <v>23299.85</v>
          </cell>
          <cell r="BA88">
            <v>22980.67</v>
          </cell>
        </row>
        <row r="89">
          <cell r="N89">
            <v>97852.87</v>
          </cell>
          <cell r="O89">
            <v>2081.98</v>
          </cell>
          <cell r="P89">
            <v>1121.06</v>
          </cell>
          <cell r="V89">
            <v>51889.25</v>
          </cell>
          <cell r="Z89">
            <v>14093.38</v>
          </cell>
          <cell r="AA89">
            <v>640.61</v>
          </cell>
          <cell r="AB89">
            <v>480.46</v>
          </cell>
          <cell r="AC89">
            <v>160.15</v>
          </cell>
          <cell r="AD89">
            <v>7527.14</v>
          </cell>
          <cell r="AE89">
            <v>7527.14</v>
          </cell>
          <cell r="AJ89">
            <v>49807.27</v>
          </cell>
          <cell r="AO89">
            <v>26104.78</v>
          </cell>
          <cell r="AS89">
            <v>15214.44</v>
          </cell>
          <cell r="AW89">
            <v>13452.77</v>
          </cell>
          <cell r="AZ89">
            <v>23382.19</v>
          </cell>
          <cell r="BA89">
            <v>23061.89</v>
          </cell>
        </row>
        <row r="90">
          <cell r="N90">
            <v>65342.78</v>
          </cell>
          <cell r="O90">
            <v>1390.27</v>
          </cell>
          <cell r="P90">
            <v>748.61</v>
          </cell>
          <cell r="V90">
            <v>34649.86</v>
          </cell>
          <cell r="Z90">
            <v>9411.07</v>
          </cell>
          <cell r="AA90">
            <v>427.78</v>
          </cell>
          <cell r="AB90">
            <v>320.83</v>
          </cell>
          <cell r="AC90">
            <v>106.94</v>
          </cell>
          <cell r="AD90">
            <v>5026.37</v>
          </cell>
          <cell r="AE90">
            <v>5026.37</v>
          </cell>
          <cell r="AO90">
            <v>17431.87</v>
          </cell>
          <cell r="AS90">
            <v>10159.68</v>
          </cell>
          <cell r="AW90">
            <v>8983.2999999999993</v>
          </cell>
          <cell r="AZ90">
            <v>15613.82</v>
          </cell>
          <cell r="BA90">
            <v>15399.94</v>
          </cell>
        </row>
        <row r="92">
          <cell r="N92">
            <v>45040.480000000003</v>
          </cell>
          <cell r="O92">
            <v>958.31</v>
          </cell>
          <cell r="P92">
            <v>516.01</v>
          </cell>
          <cell r="Z92">
            <v>6487.01</v>
          </cell>
          <cell r="AA92">
            <v>294.86</v>
          </cell>
          <cell r="AC92">
            <v>73.72</v>
          </cell>
          <cell r="AD92">
            <v>3464.65</v>
          </cell>
          <cell r="AE92">
            <v>3464.65</v>
          </cell>
          <cell r="AJ92">
            <v>22925.68</v>
          </cell>
          <cell r="AO92">
            <v>12015.71</v>
          </cell>
          <cell r="AS92">
            <v>7003.02</v>
          </cell>
          <cell r="AW92">
            <v>6192.14</v>
          </cell>
          <cell r="AZ92">
            <v>10762.54</v>
          </cell>
          <cell r="BA92">
            <v>10615.1</v>
          </cell>
        </row>
        <row r="93">
          <cell r="T93">
            <v>377293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F12">
            <v>9044.91</v>
          </cell>
        </row>
        <row r="13">
          <cell r="F13">
            <v>10386.33</v>
          </cell>
        </row>
        <row r="14">
          <cell r="F14">
            <v>37506.839999999997</v>
          </cell>
        </row>
        <row r="15">
          <cell r="F15">
            <v>48336.06</v>
          </cell>
        </row>
        <row r="16">
          <cell r="F16">
            <v>23119.35</v>
          </cell>
        </row>
        <row r="17">
          <cell r="F17">
            <v>43755.33</v>
          </cell>
        </row>
        <row r="18">
          <cell r="F18">
            <v>13211.94</v>
          </cell>
        </row>
        <row r="19">
          <cell r="F19">
            <v>52360.38</v>
          </cell>
        </row>
        <row r="20">
          <cell r="F20">
            <v>36963.300000000003</v>
          </cell>
        </row>
        <row r="21">
          <cell r="F21">
            <v>16986.150000000001</v>
          </cell>
        </row>
        <row r="22">
          <cell r="F22">
            <v>124466.34</v>
          </cell>
        </row>
        <row r="23">
          <cell r="F23">
            <v>36037.32</v>
          </cell>
        </row>
        <row r="25">
          <cell r="F25">
            <v>53395.92</v>
          </cell>
        </row>
        <row r="26">
          <cell r="F26">
            <v>47408.82</v>
          </cell>
        </row>
        <row r="27">
          <cell r="F27">
            <v>32836.86</v>
          </cell>
        </row>
        <row r="28">
          <cell r="F28">
            <v>13080.3</v>
          </cell>
        </row>
        <row r="29">
          <cell r="F29">
            <v>41457.51</v>
          </cell>
        </row>
        <row r="30">
          <cell r="F30">
            <v>61465.14</v>
          </cell>
        </row>
        <row r="31">
          <cell r="F31">
            <v>26398.53</v>
          </cell>
        </row>
        <row r="32">
          <cell r="F32">
            <v>19680.96</v>
          </cell>
        </row>
        <row r="37">
          <cell r="F37">
            <v>35189.550000000003</v>
          </cell>
        </row>
        <row r="38">
          <cell r="F38">
            <v>60072.33</v>
          </cell>
        </row>
        <row r="39">
          <cell r="F39">
            <v>47800.47</v>
          </cell>
        </row>
        <row r="40">
          <cell r="F40">
            <v>7151.79</v>
          </cell>
        </row>
        <row r="42">
          <cell r="F42">
            <v>13102.95</v>
          </cell>
        </row>
        <row r="43">
          <cell r="F43">
            <v>53919.69</v>
          </cell>
        </row>
        <row r="44">
          <cell r="F44">
            <v>13053.15</v>
          </cell>
        </row>
        <row r="45">
          <cell r="F45">
            <v>26544.54</v>
          </cell>
        </row>
        <row r="46">
          <cell r="F46">
            <v>37738.47</v>
          </cell>
        </row>
        <row r="47">
          <cell r="F47">
            <v>48884.4</v>
          </cell>
        </row>
        <row r="48">
          <cell r="F48">
            <v>56209.02</v>
          </cell>
        </row>
        <row r="51">
          <cell r="F51">
            <v>7913.94</v>
          </cell>
        </row>
        <row r="52">
          <cell r="F52">
            <v>39180.269999999997</v>
          </cell>
        </row>
        <row r="53">
          <cell r="F53">
            <v>54819</v>
          </cell>
        </row>
        <row r="55">
          <cell r="F55">
            <v>59412</v>
          </cell>
        </row>
        <row r="56">
          <cell r="F56">
            <v>46861.83</v>
          </cell>
        </row>
        <row r="57">
          <cell r="F57">
            <v>44145.84</v>
          </cell>
        </row>
        <row r="58">
          <cell r="F58">
            <v>41254.35</v>
          </cell>
        </row>
        <row r="59">
          <cell r="F59">
            <v>45031.53</v>
          </cell>
        </row>
        <row r="62">
          <cell r="F62">
            <v>63505.23</v>
          </cell>
        </row>
        <row r="63">
          <cell r="F63">
            <v>49978.89</v>
          </cell>
        </row>
        <row r="65">
          <cell r="F65">
            <v>2273.25</v>
          </cell>
        </row>
        <row r="66">
          <cell r="F66">
            <v>3785.64</v>
          </cell>
        </row>
        <row r="68">
          <cell r="F68">
            <v>44781.72</v>
          </cell>
        </row>
        <row r="69">
          <cell r="F69">
            <v>53910.69</v>
          </cell>
        </row>
        <row r="70">
          <cell r="F70">
            <v>32870.22</v>
          </cell>
        </row>
        <row r="71">
          <cell r="F71">
            <v>82190.64</v>
          </cell>
        </row>
        <row r="72">
          <cell r="F72">
            <v>50950</v>
          </cell>
        </row>
        <row r="73">
          <cell r="F73">
            <v>40202.58</v>
          </cell>
        </row>
        <row r="74">
          <cell r="F74">
            <v>56325.72</v>
          </cell>
        </row>
        <row r="75">
          <cell r="F75">
            <v>48107.31</v>
          </cell>
        </row>
        <row r="76">
          <cell r="F76">
            <v>48055.77</v>
          </cell>
        </row>
        <row r="77">
          <cell r="F77">
            <v>848.68</v>
          </cell>
        </row>
        <row r="78">
          <cell r="F78">
            <v>848.68</v>
          </cell>
        </row>
        <row r="79">
          <cell r="F79">
            <v>7274.3</v>
          </cell>
        </row>
        <row r="80">
          <cell r="F80">
            <v>7274.3</v>
          </cell>
        </row>
        <row r="81">
          <cell r="F81">
            <v>43888</v>
          </cell>
        </row>
        <row r="82">
          <cell r="F82">
            <v>9835.41</v>
          </cell>
        </row>
        <row r="83">
          <cell r="F83">
            <v>37856.67</v>
          </cell>
        </row>
        <row r="84">
          <cell r="F84">
            <v>3637.14</v>
          </cell>
        </row>
        <row r="85">
          <cell r="F85">
            <v>7667.16</v>
          </cell>
        </row>
        <row r="86">
          <cell r="F86">
            <v>9842.3700000000008</v>
          </cell>
        </row>
        <row r="87">
          <cell r="F87">
            <v>9042.24</v>
          </cell>
        </row>
        <row r="88">
          <cell r="F88">
            <v>23796.93</v>
          </cell>
        </row>
        <row r="89">
          <cell r="F89">
            <v>2121.7199999999998</v>
          </cell>
        </row>
        <row r="90">
          <cell r="F90">
            <v>9568.74</v>
          </cell>
        </row>
        <row r="92">
          <cell r="F92">
            <v>25456.98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 2019"/>
      <sheetName val="ООО,ТСЖ 2019"/>
      <sheetName val="УК,ООО,ТСЖ 2019 (2)"/>
      <sheetName val="Лист3"/>
    </sheetNames>
    <sheetDataSet>
      <sheetData sheetId="0">
        <row r="23">
          <cell r="J23">
            <v>673204.56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 ЖЭУ-7 2020 год"/>
      <sheetName val="ООО ЖЭУ-7 2020"/>
      <sheetName val="ведомость 20г ВИЦ"/>
    </sheetNames>
    <sheetDataSet>
      <sheetData sheetId="0">
        <row r="12">
          <cell r="J12">
            <v>660664.11</v>
          </cell>
          <cell r="M12">
            <v>643375.93999999994</v>
          </cell>
        </row>
        <row r="13">
          <cell r="L13">
            <v>674075.25</v>
          </cell>
          <cell r="M13">
            <v>665617.14</v>
          </cell>
        </row>
        <row r="14">
          <cell r="L14">
            <v>679368.6</v>
          </cell>
          <cell r="M14">
            <v>692075.24</v>
          </cell>
        </row>
        <row r="15">
          <cell r="L15">
            <v>666113.88</v>
          </cell>
          <cell r="M15">
            <v>717916.87</v>
          </cell>
        </row>
        <row r="16">
          <cell r="L16">
            <v>1311656.92</v>
          </cell>
          <cell r="M16">
            <v>1259034.4099999999</v>
          </cell>
        </row>
        <row r="17">
          <cell r="L17">
            <v>732887.16</v>
          </cell>
          <cell r="M17">
            <v>711132.22</v>
          </cell>
        </row>
        <row r="18">
          <cell r="J18">
            <v>763376.04</v>
          </cell>
          <cell r="K18">
            <v>-897.84</v>
          </cell>
          <cell r="M18">
            <v>722020.46</v>
          </cell>
        </row>
        <row r="19">
          <cell r="L19">
            <v>374868.84</v>
          </cell>
          <cell r="M19">
            <v>373243.08</v>
          </cell>
        </row>
        <row r="20">
          <cell r="L20">
            <v>647526.62</v>
          </cell>
          <cell r="M20">
            <v>677226.39</v>
          </cell>
        </row>
        <row r="21">
          <cell r="L21">
            <v>675233.88</v>
          </cell>
          <cell r="M21">
            <v>656008.59</v>
          </cell>
        </row>
        <row r="22">
          <cell r="L22">
            <v>675784.92</v>
          </cell>
          <cell r="M22">
            <v>669254.81999999995</v>
          </cell>
        </row>
        <row r="23">
          <cell r="M23">
            <v>668346.19999999995</v>
          </cell>
        </row>
        <row r="25">
          <cell r="L25">
            <v>908328.95999999996</v>
          </cell>
          <cell r="M25">
            <v>861308.61</v>
          </cell>
        </row>
        <row r="26">
          <cell r="L26">
            <v>949025.28000000003</v>
          </cell>
          <cell r="M26">
            <v>924275.58</v>
          </cell>
        </row>
        <row r="27">
          <cell r="L27">
            <v>2684360.88</v>
          </cell>
          <cell r="M27">
            <v>1568468.91</v>
          </cell>
        </row>
        <row r="28">
          <cell r="L28">
            <v>1702454.88</v>
          </cell>
          <cell r="M28">
            <v>1661302.15</v>
          </cell>
        </row>
        <row r="30">
          <cell r="L30">
            <v>543239.88</v>
          </cell>
          <cell r="M30">
            <v>512709.63</v>
          </cell>
        </row>
        <row r="31">
          <cell r="L31">
            <v>1342225.44</v>
          </cell>
          <cell r="M31">
            <v>1299983.06</v>
          </cell>
        </row>
        <row r="32">
          <cell r="L32">
            <v>455237.52</v>
          </cell>
          <cell r="M32">
            <v>451477.75</v>
          </cell>
        </row>
        <row r="33">
          <cell r="L33">
            <v>1040070.26</v>
          </cell>
          <cell r="M33">
            <v>1008127.06</v>
          </cell>
        </row>
        <row r="34">
          <cell r="L34">
            <v>653460.24</v>
          </cell>
          <cell r="M34">
            <v>668742.18000000005</v>
          </cell>
        </row>
        <row r="35">
          <cell r="L35">
            <v>838717.38</v>
          </cell>
          <cell r="M35">
            <v>851092.51</v>
          </cell>
        </row>
        <row r="36">
          <cell r="J36">
            <v>1336084.74</v>
          </cell>
          <cell r="K36">
            <v>220.89</v>
          </cell>
          <cell r="M36">
            <v>1470526.86</v>
          </cell>
        </row>
        <row r="37">
          <cell r="L37">
            <v>1020436.68</v>
          </cell>
          <cell r="M37">
            <v>1018691.85</v>
          </cell>
        </row>
        <row r="38">
          <cell r="L38">
            <v>1087805.8799999999</v>
          </cell>
          <cell r="M38">
            <v>1044951.16</v>
          </cell>
        </row>
        <row r="39">
          <cell r="L39">
            <v>797353.08</v>
          </cell>
          <cell r="M39">
            <v>797717.22</v>
          </cell>
        </row>
        <row r="40">
          <cell r="L40">
            <v>660814.43999999994</v>
          </cell>
          <cell r="M40">
            <v>622223.15</v>
          </cell>
        </row>
        <row r="41">
          <cell r="L41">
            <v>1102740.1200000001</v>
          </cell>
          <cell r="M41">
            <v>1064297.8899999999</v>
          </cell>
        </row>
        <row r="42">
          <cell r="L42">
            <v>837561.36</v>
          </cell>
          <cell r="M42">
            <v>827484.47</v>
          </cell>
        </row>
        <row r="43">
          <cell r="L43">
            <v>1093130.99</v>
          </cell>
          <cell r="M43">
            <v>1119638.74</v>
          </cell>
        </row>
        <row r="44">
          <cell r="L44">
            <v>1794238.92</v>
          </cell>
          <cell r="M44">
            <v>1787697.16</v>
          </cell>
        </row>
        <row r="45">
          <cell r="L45">
            <v>682015.84</v>
          </cell>
          <cell r="M45">
            <v>680166.12</v>
          </cell>
        </row>
        <row r="46">
          <cell r="L46">
            <v>972573.84</v>
          </cell>
          <cell r="M46">
            <v>979424.1</v>
          </cell>
        </row>
        <row r="47">
          <cell r="L47">
            <v>747645.72</v>
          </cell>
          <cell r="M47">
            <v>743069.91</v>
          </cell>
        </row>
        <row r="48">
          <cell r="L48">
            <v>543612</v>
          </cell>
          <cell r="M48">
            <v>513493.79</v>
          </cell>
        </row>
        <row r="49">
          <cell r="L49">
            <v>777212.04</v>
          </cell>
          <cell r="M49">
            <v>757642.47</v>
          </cell>
        </row>
        <row r="50">
          <cell r="L50">
            <v>545244</v>
          </cell>
          <cell r="M50">
            <v>610436.51</v>
          </cell>
        </row>
        <row r="51">
          <cell r="L51">
            <v>1160023.68</v>
          </cell>
          <cell r="M51">
            <v>1130967.22</v>
          </cell>
        </row>
        <row r="52">
          <cell r="L52">
            <v>1321359.48</v>
          </cell>
          <cell r="M52">
            <v>1304604.3999999999</v>
          </cell>
        </row>
        <row r="53">
          <cell r="L53">
            <v>685270.88</v>
          </cell>
          <cell r="M53">
            <v>665041.49</v>
          </cell>
        </row>
        <row r="54">
          <cell r="L54">
            <v>1225191.8899999999</v>
          </cell>
          <cell r="M54">
            <v>1190998.8400000001</v>
          </cell>
        </row>
        <row r="55">
          <cell r="L55">
            <v>602536.18000000005</v>
          </cell>
          <cell r="M55">
            <v>648971.13</v>
          </cell>
        </row>
        <row r="56">
          <cell r="L56">
            <v>680445.72</v>
          </cell>
          <cell r="M56">
            <v>638188.62</v>
          </cell>
        </row>
        <row r="57">
          <cell r="L57">
            <v>1048018.2</v>
          </cell>
          <cell r="M57">
            <v>1080742.8799999999</v>
          </cell>
        </row>
        <row r="58">
          <cell r="L58">
            <v>678541.2</v>
          </cell>
          <cell r="M58">
            <v>660962.84</v>
          </cell>
        </row>
        <row r="59">
          <cell r="L59">
            <v>468324.96</v>
          </cell>
          <cell r="M59">
            <v>465004.3</v>
          </cell>
        </row>
        <row r="60">
          <cell r="L60">
            <v>677764.44</v>
          </cell>
          <cell r="M60">
            <v>655791.91</v>
          </cell>
        </row>
        <row r="61">
          <cell r="L61">
            <v>662856.72</v>
          </cell>
          <cell r="M61">
            <v>678706.34</v>
          </cell>
        </row>
        <row r="62">
          <cell r="L62">
            <v>1075554.3600000001</v>
          </cell>
          <cell r="M62">
            <v>1123199.17</v>
          </cell>
        </row>
        <row r="66">
          <cell r="L66">
            <v>1142130.06</v>
          </cell>
          <cell r="M66">
            <v>1090317.05</v>
          </cell>
        </row>
        <row r="69">
          <cell r="L69">
            <v>1104769.8</v>
          </cell>
          <cell r="M69">
            <v>1090736.94</v>
          </cell>
        </row>
        <row r="70">
          <cell r="L70">
            <v>251286.72</v>
          </cell>
          <cell r="M70">
            <v>244655.18</v>
          </cell>
        </row>
        <row r="71">
          <cell r="L71">
            <v>249081.60000000001</v>
          </cell>
          <cell r="M71">
            <v>268640.89</v>
          </cell>
        </row>
        <row r="73">
          <cell r="L73">
            <v>650904.84</v>
          </cell>
          <cell r="M73">
            <v>634401.94999999995</v>
          </cell>
        </row>
        <row r="74">
          <cell r="L74">
            <v>516148.92</v>
          </cell>
          <cell r="M74">
            <v>516275.81</v>
          </cell>
        </row>
        <row r="76">
          <cell r="L76">
            <v>685478.06</v>
          </cell>
          <cell r="M76">
            <v>621610.17000000004</v>
          </cell>
        </row>
        <row r="77">
          <cell r="L77">
            <v>674357.28</v>
          </cell>
          <cell r="M77">
            <v>631992.43000000005</v>
          </cell>
        </row>
        <row r="80">
          <cell r="L80">
            <v>701288.64</v>
          </cell>
          <cell r="M80">
            <v>702385.11</v>
          </cell>
        </row>
        <row r="84">
          <cell r="L84">
            <v>408891.12</v>
          </cell>
          <cell r="M84">
            <v>410484.66</v>
          </cell>
        </row>
        <row r="85">
          <cell r="L85">
            <v>1052191.2</v>
          </cell>
          <cell r="M85">
            <v>1146721.21</v>
          </cell>
        </row>
        <row r="86">
          <cell r="L86">
            <v>698132.64</v>
          </cell>
          <cell r="M86">
            <v>677769.38</v>
          </cell>
        </row>
        <row r="87">
          <cell r="L87">
            <v>700740.84</v>
          </cell>
          <cell r="M87">
            <v>747777.91</v>
          </cell>
        </row>
        <row r="88">
          <cell r="L88">
            <v>1333405.08</v>
          </cell>
          <cell r="M88">
            <v>1253050.83</v>
          </cell>
        </row>
        <row r="91">
          <cell r="L91">
            <v>302375.76</v>
          </cell>
          <cell r="M91">
            <v>292971.59000000003</v>
          </cell>
        </row>
        <row r="92">
          <cell r="J92">
            <v>555539.88</v>
          </cell>
          <cell r="K92">
            <v>100.16</v>
          </cell>
          <cell r="M92">
            <v>549151.43000000005</v>
          </cell>
        </row>
        <row r="93">
          <cell r="J93">
            <v>475951.2</v>
          </cell>
          <cell r="K93">
            <v>-156.6</v>
          </cell>
          <cell r="M93">
            <v>464646.44</v>
          </cell>
        </row>
        <row r="94">
          <cell r="L94">
            <v>501984.48</v>
          </cell>
          <cell r="M94">
            <v>506038.64</v>
          </cell>
        </row>
        <row r="95">
          <cell r="L95">
            <v>342114.72</v>
          </cell>
          <cell r="M95">
            <v>356481.47</v>
          </cell>
        </row>
        <row r="96">
          <cell r="L96">
            <v>675942.6</v>
          </cell>
          <cell r="M96">
            <v>688475.28</v>
          </cell>
        </row>
        <row r="97">
          <cell r="L97">
            <v>1084148.6399999999</v>
          </cell>
          <cell r="M97">
            <v>1060616.1499999999</v>
          </cell>
        </row>
        <row r="98">
          <cell r="L98">
            <v>830383.2</v>
          </cell>
          <cell r="M98">
            <v>805811.57</v>
          </cell>
        </row>
        <row r="99">
          <cell r="L99">
            <v>315705.71999999997</v>
          </cell>
          <cell r="M99">
            <v>299747.71000000002</v>
          </cell>
        </row>
        <row r="100">
          <cell r="L100">
            <v>439156.32</v>
          </cell>
          <cell r="M100">
            <v>441203.51</v>
          </cell>
        </row>
        <row r="101">
          <cell r="L101">
            <v>431589.24</v>
          </cell>
          <cell r="M101">
            <v>413662.93</v>
          </cell>
        </row>
        <row r="102">
          <cell r="L102">
            <v>223299</v>
          </cell>
          <cell r="M102">
            <v>210932.88</v>
          </cell>
        </row>
        <row r="104">
          <cell r="L104">
            <v>311596.44</v>
          </cell>
          <cell r="M104">
            <v>283935.52</v>
          </cell>
        </row>
        <row r="106">
          <cell r="L106">
            <v>130035.12</v>
          </cell>
          <cell r="M106">
            <v>113129.08</v>
          </cell>
        </row>
        <row r="107">
          <cell r="L107">
            <v>333219.71999999997</v>
          </cell>
          <cell r="M107">
            <v>332995.56</v>
          </cell>
        </row>
        <row r="108">
          <cell r="L108">
            <v>334397.28000000003</v>
          </cell>
          <cell r="M108">
            <v>353007.48</v>
          </cell>
        </row>
        <row r="109">
          <cell r="I109">
            <v>16925850.169999998</v>
          </cell>
          <cell r="J109">
            <v>62577605.220000006</v>
          </cell>
          <cell r="K109">
            <v>-733.3900000000001</v>
          </cell>
          <cell r="M109">
            <v>60913742.970000006</v>
          </cell>
          <cell r="N109">
            <v>18588979.030000009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20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1">
          <cell r="N11">
            <v>195163.18</v>
          </cell>
          <cell r="O11">
            <v>4152.41</v>
          </cell>
          <cell r="P11">
            <v>2235.91</v>
          </cell>
          <cell r="V11">
            <v>103490.78</v>
          </cell>
          <cell r="Y11">
            <v>28108.61</v>
          </cell>
          <cell r="AA11">
            <v>1277.6600000000001</v>
          </cell>
          <cell r="AB11">
            <v>958.25</v>
          </cell>
          <cell r="AC11">
            <v>319.42</v>
          </cell>
          <cell r="AD11">
            <v>15012.55</v>
          </cell>
          <cell r="AE11">
            <v>15012.55</v>
          </cell>
          <cell r="AJ11">
            <v>99338.38</v>
          </cell>
          <cell r="AO11">
            <v>52064.81</v>
          </cell>
          <cell r="AS11">
            <v>30344.52</v>
          </cell>
          <cell r="AW11">
            <v>26830.94</v>
          </cell>
          <cell r="AZ11">
            <v>46634.74</v>
          </cell>
          <cell r="BA11">
            <v>45995.9</v>
          </cell>
        </row>
        <row r="12">
          <cell r="AJ12">
            <v>115229.23</v>
          </cell>
        </row>
        <row r="13">
          <cell r="AB13">
            <v>979.34</v>
          </cell>
          <cell r="AJ13">
            <v>101525.33</v>
          </cell>
        </row>
        <row r="14">
          <cell r="AB14">
            <v>970.96</v>
          </cell>
        </row>
        <row r="15">
          <cell r="AB15">
            <v>982.8</v>
          </cell>
        </row>
        <row r="17">
          <cell r="AB17">
            <v>979.24</v>
          </cell>
        </row>
        <row r="18">
          <cell r="AB18">
            <v>1928.88</v>
          </cell>
          <cell r="AJ18">
            <v>199960.56</v>
          </cell>
        </row>
        <row r="20">
          <cell r="AB20">
            <v>986.83</v>
          </cell>
          <cell r="AJ20">
            <v>102301.58</v>
          </cell>
        </row>
        <row r="21">
          <cell r="AJ21">
            <v>68791.960000000006</v>
          </cell>
        </row>
        <row r="23">
          <cell r="AB23">
            <v>1587.82</v>
          </cell>
          <cell r="AJ23">
            <v>164603.59</v>
          </cell>
        </row>
        <row r="24">
          <cell r="N24">
            <v>446922.06</v>
          </cell>
          <cell r="O24">
            <v>9508.98</v>
          </cell>
          <cell r="P24">
            <v>5120.22</v>
          </cell>
          <cell r="V24">
            <v>335740.14</v>
          </cell>
          <cell r="Y24">
            <v>64368.480000000003</v>
          </cell>
          <cell r="AA24">
            <v>2925.84</v>
          </cell>
          <cell r="AB24">
            <v>2194.38</v>
          </cell>
          <cell r="AC24">
            <v>731.46</v>
          </cell>
          <cell r="AD24">
            <v>34378.620000000003</v>
          </cell>
          <cell r="AE24">
            <v>34378.620000000003</v>
          </cell>
          <cell r="AJ24">
            <v>154338.06</v>
          </cell>
          <cell r="AO24">
            <v>119227.98</v>
          </cell>
          <cell r="AS24">
            <v>193105.44</v>
          </cell>
          <cell r="AW24">
            <v>379627.74</v>
          </cell>
          <cell r="AZ24">
            <v>106793.16</v>
          </cell>
          <cell r="BA24">
            <v>105330.24000000001</v>
          </cell>
        </row>
        <row r="25">
          <cell r="AB25">
            <v>1562.94</v>
          </cell>
        </row>
        <row r="26">
          <cell r="AJ26">
            <v>100711.75</v>
          </cell>
        </row>
        <row r="27">
          <cell r="AJ27">
            <v>164383.4</v>
          </cell>
        </row>
        <row r="28">
          <cell r="AJ28">
            <v>120103.22</v>
          </cell>
        </row>
        <row r="29">
          <cell r="AJ29">
            <v>164461.78</v>
          </cell>
        </row>
        <row r="30">
          <cell r="AB30">
            <v>979.92</v>
          </cell>
        </row>
        <row r="31">
          <cell r="AB31">
            <v>1100.81</v>
          </cell>
        </row>
        <row r="32">
          <cell r="AB32">
            <v>2149.2399999999998</v>
          </cell>
        </row>
        <row r="33">
          <cell r="N33">
            <v>242850.5</v>
          </cell>
          <cell r="O33">
            <v>5167.03</v>
          </cell>
          <cell r="P33">
            <v>2782.25</v>
          </cell>
          <cell r="V33">
            <v>128778.34</v>
          </cell>
          <cell r="Z33">
            <v>34976.83</v>
          </cell>
          <cell r="AA33">
            <v>1589.86</v>
          </cell>
          <cell r="AB33">
            <v>1192.3900000000001</v>
          </cell>
          <cell r="AC33">
            <v>397.46</v>
          </cell>
          <cell r="AD33">
            <v>18680.810000000001</v>
          </cell>
          <cell r="AE33">
            <v>18680.810000000001</v>
          </cell>
          <cell r="AJ33">
            <v>123611.3</v>
          </cell>
          <cell r="AO33">
            <v>64786.63</v>
          </cell>
          <cell r="AS33">
            <v>71146.06</v>
          </cell>
          <cell r="AW33">
            <v>60414.53</v>
          </cell>
          <cell r="AZ33">
            <v>58029.74</v>
          </cell>
          <cell r="BA33">
            <v>57234.82</v>
          </cell>
        </row>
        <row r="34">
          <cell r="N34">
            <v>258863.59</v>
          </cell>
          <cell r="O34">
            <v>5507.74</v>
          </cell>
          <cell r="P34">
            <v>2965.7</v>
          </cell>
          <cell r="V34">
            <v>137269.73000000001</v>
          </cell>
          <cell r="Z34">
            <v>37283.14</v>
          </cell>
          <cell r="AA34">
            <v>1694.69</v>
          </cell>
          <cell r="AB34">
            <v>1271.02</v>
          </cell>
          <cell r="AC34">
            <v>423.67</v>
          </cell>
          <cell r="AD34">
            <v>19912.580000000002</v>
          </cell>
          <cell r="AE34">
            <v>19912.580000000002</v>
          </cell>
          <cell r="AJ34">
            <v>131761.99</v>
          </cell>
          <cell r="AO34">
            <v>69058.539999999994</v>
          </cell>
          <cell r="AS34">
            <v>75837.289999999994</v>
          </cell>
          <cell r="AW34">
            <v>64398.14</v>
          </cell>
          <cell r="AZ34">
            <v>61856.11</v>
          </cell>
          <cell r="BA34">
            <v>61008.77</v>
          </cell>
        </row>
        <row r="35">
          <cell r="AB35">
            <v>2568.5300000000002</v>
          </cell>
        </row>
        <row r="36">
          <cell r="O36">
            <v>4305.76</v>
          </cell>
          <cell r="AB36">
            <v>993.64</v>
          </cell>
        </row>
        <row r="38">
          <cell r="AB38">
            <v>1581.98</v>
          </cell>
          <cell r="AJ38">
            <v>163999.01</v>
          </cell>
        </row>
        <row r="40">
          <cell r="AJ40">
            <v>86813.78</v>
          </cell>
        </row>
        <row r="41">
          <cell r="AB41">
            <v>1949.18</v>
          </cell>
          <cell r="AJ41">
            <v>202065.41</v>
          </cell>
        </row>
        <row r="42">
          <cell r="AJ42">
            <v>152993.34</v>
          </cell>
        </row>
        <row r="43">
          <cell r="AB43">
            <v>1121.98</v>
          </cell>
          <cell r="AJ43">
            <v>116311.51</v>
          </cell>
        </row>
        <row r="44">
          <cell r="AB44">
            <v>1116.58</v>
          </cell>
          <cell r="AJ44">
            <v>115751.71</v>
          </cell>
        </row>
        <row r="45">
          <cell r="AJ45">
            <v>78783.23</v>
          </cell>
        </row>
        <row r="47">
          <cell r="AB47">
            <v>1587.31</v>
          </cell>
          <cell r="AJ47">
            <v>164551.34</v>
          </cell>
        </row>
        <row r="48">
          <cell r="AB48">
            <v>967.9</v>
          </cell>
        </row>
        <row r="49">
          <cell r="O49">
            <v>2476.5</v>
          </cell>
          <cell r="AJ49">
            <v>59245.5</v>
          </cell>
        </row>
        <row r="50">
          <cell r="O50">
            <v>4384.07</v>
          </cell>
        </row>
        <row r="52">
          <cell r="AB52">
            <v>983.66</v>
          </cell>
        </row>
        <row r="53">
          <cell r="AJ53">
            <v>99700.38</v>
          </cell>
        </row>
        <row r="54">
          <cell r="O54">
            <v>7982.83</v>
          </cell>
          <cell r="AJ54">
            <v>190973.9</v>
          </cell>
        </row>
        <row r="55">
          <cell r="AB55">
            <v>974.92</v>
          </cell>
        </row>
        <row r="57">
          <cell r="AB57">
            <v>974.41</v>
          </cell>
        </row>
        <row r="58">
          <cell r="AB58">
            <v>1585.33</v>
          </cell>
        </row>
        <row r="59">
          <cell r="AJ59">
            <v>163442.94</v>
          </cell>
        </row>
        <row r="60">
          <cell r="O60">
            <v>2072.15</v>
          </cell>
          <cell r="AJ60">
            <v>49572.160000000003</v>
          </cell>
        </row>
        <row r="61">
          <cell r="O61">
            <v>2067.62</v>
          </cell>
          <cell r="AB61">
            <v>477.14</v>
          </cell>
          <cell r="AJ61">
            <v>49463.93</v>
          </cell>
        </row>
        <row r="62">
          <cell r="AJ62">
            <v>67026.720000000001</v>
          </cell>
        </row>
        <row r="63">
          <cell r="AB63">
            <v>968.9</v>
          </cell>
        </row>
        <row r="64">
          <cell r="O64">
            <v>4672.2</v>
          </cell>
        </row>
        <row r="65">
          <cell r="AJ65">
            <v>47157.55</v>
          </cell>
        </row>
        <row r="66">
          <cell r="AB66">
            <v>715.25</v>
          </cell>
          <cell r="AJ66">
            <v>74147.38</v>
          </cell>
        </row>
        <row r="67">
          <cell r="O67">
            <v>2476.81</v>
          </cell>
          <cell r="AJ67">
            <v>59252.959999999999</v>
          </cell>
        </row>
        <row r="68">
          <cell r="AJ68">
            <v>100368.41</v>
          </cell>
        </row>
        <row r="69">
          <cell r="AB69">
            <v>687.53</v>
          </cell>
        </row>
        <row r="72">
          <cell r="AJ72">
            <v>74815.399999999994</v>
          </cell>
        </row>
        <row r="73">
          <cell r="AB73">
            <v>1920.56</v>
          </cell>
          <cell r="AJ73">
            <v>199098.47</v>
          </cell>
        </row>
        <row r="75">
          <cell r="AJ75">
            <v>161491.1</v>
          </cell>
        </row>
        <row r="76">
          <cell r="AB76">
            <v>979.16</v>
          </cell>
        </row>
        <row r="77">
          <cell r="AJ77">
            <v>94430.94</v>
          </cell>
          <cell r="AZ77">
            <v>65340.84</v>
          </cell>
        </row>
        <row r="78">
          <cell r="AJ78">
            <v>120333.3</v>
          </cell>
          <cell r="AZ78">
            <v>83263.8</v>
          </cell>
        </row>
        <row r="79">
          <cell r="AJ79">
            <v>99358.21</v>
          </cell>
          <cell r="AZ79">
            <v>68750.23</v>
          </cell>
        </row>
        <row r="84">
          <cell r="AJ84">
            <v>47023.199999999997</v>
          </cell>
        </row>
        <row r="85">
          <cell r="AJ85">
            <v>65410.76</v>
          </cell>
        </row>
        <row r="86">
          <cell r="AJ86">
            <v>64283.7</v>
          </cell>
        </row>
        <row r="87">
          <cell r="AB87">
            <v>471.56</v>
          </cell>
          <cell r="AJ87">
            <v>48885.47</v>
          </cell>
        </row>
        <row r="90">
          <cell r="AJ90">
            <v>33259.58</v>
          </cell>
        </row>
        <row r="92">
          <cell r="AB92">
            <v>221.15</v>
          </cell>
        </row>
        <row r="93">
          <cell r="BC93">
            <v>369322.01</v>
          </cell>
          <cell r="BE93">
            <v>3794231</v>
          </cell>
        </row>
        <row r="100">
          <cell r="N100">
            <v>17356424</v>
          </cell>
          <cell r="O100">
            <v>379303</v>
          </cell>
          <cell r="P100">
            <v>204240</v>
          </cell>
          <cell r="V100">
            <v>9580043</v>
          </cell>
          <cell r="Y100">
            <v>2433289</v>
          </cell>
          <cell r="AA100">
            <v>116709</v>
          </cell>
          <cell r="AB100">
            <v>87531</v>
          </cell>
          <cell r="AC100">
            <v>29177</v>
          </cell>
          <cell r="AD100">
            <v>1381027</v>
          </cell>
          <cell r="AE100">
            <v>1381027</v>
          </cell>
          <cell r="AJ100">
            <v>8714611</v>
          </cell>
          <cell r="AO100">
            <v>4756074</v>
          </cell>
          <cell r="AS100">
            <v>3761916</v>
          </cell>
          <cell r="AW100">
            <v>2841201</v>
          </cell>
          <cell r="AZ100">
            <v>4272742</v>
          </cell>
          <cell r="BA100">
            <v>4214220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4">
          <cell r="F94">
            <v>2374574</v>
          </cell>
        </row>
      </sheetData>
      <sheetData sheetId="9" refreshError="1"/>
      <sheetData sheetId="10" refreshError="1"/>
      <sheetData sheetId="11" refreshError="1"/>
      <sheetData sheetId="12">
        <row r="17">
          <cell r="AR17">
            <v>32204</v>
          </cell>
        </row>
        <row r="18">
          <cell r="AG18">
            <v>6169</v>
          </cell>
          <cell r="AR18">
            <v>50064</v>
          </cell>
        </row>
        <row r="36">
          <cell r="AR36">
            <v>17860</v>
          </cell>
        </row>
        <row r="40">
          <cell r="AM40">
            <v>7123</v>
          </cell>
        </row>
        <row r="46">
          <cell r="AG46">
            <v>6532</v>
          </cell>
          <cell r="AR46">
            <v>17860</v>
          </cell>
        </row>
        <row r="49">
          <cell r="Y49">
            <v>14014</v>
          </cell>
        </row>
        <row r="61">
          <cell r="Y61">
            <v>11770</v>
          </cell>
          <cell r="AM61">
            <v>7123</v>
          </cell>
          <cell r="AR61">
            <v>17860</v>
          </cell>
        </row>
        <row r="64">
          <cell r="AG64">
            <v>24705</v>
          </cell>
          <cell r="AR64">
            <v>17860</v>
          </cell>
        </row>
        <row r="80">
          <cell r="V80">
            <v>54315</v>
          </cell>
        </row>
        <row r="89">
          <cell r="AR89">
            <v>17860</v>
          </cell>
        </row>
      </sheetData>
      <sheetData sheetId="13">
        <row r="11">
          <cell r="F11">
            <v>428.8</v>
          </cell>
          <cell r="X11">
            <v>14014</v>
          </cell>
        </row>
        <row r="12">
          <cell r="F12">
            <v>532.14</v>
          </cell>
          <cell r="R12">
            <v>5500</v>
          </cell>
        </row>
        <row r="13">
          <cell r="F13">
            <v>1060.32</v>
          </cell>
          <cell r="R13">
            <v>273923</v>
          </cell>
          <cell r="X13">
            <v>29736</v>
          </cell>
        </row>
        <row r="14">
          <cell r="F14">
            <v>964.32</v>
          </cell>
        </row>
        <row r="15">
          <cell r="F15">
            <v>1358.85</v>
          </cell>
        </row>
        <row r="16">
          <cell r="F16">
            <v>985.53</v>
          </cell>
        </row>
        <row r="17">
          <cell r="F17">
            <v>776.42</v>
          </cell>
          <cell r="R17">
            <v>1650</v>
          </cell>
          <cell r="X17">
            <v>11770</v>
          </cell>
        </row>
        <row r="18">
          <cell r="F18">
            <v>1871.01</v>
          </cell>
        </row>
        <row r="19">
          <cell r="F19">
            <v>969.46</v>
          </cell>
        </row>
        <row r="20">
          <cell r="F20">
            <v>866.16</v>
          </cell>
          <cell r="X20">
            <v>24903</v>
          </cell>
        </row>
        <row r="21">
          <cell r="F21">
            <v>706.88</v>
          </cell>
          <cell r="R21">
            <v>1650</v>
          </cell>
        </row>
        <row r="22">
          <cell r="F22">
            <v>1634.07</v>
          </cell>
        </row>
        <row r="23">
          <cell r="F23">
            <v>671.79</v>
          </cell>
          <cell r="R23">
            <v>1100</v>
          </cell>
        </row>
        <row r="24">
          <cell r="F24">
            <v>0</v>
          </cell>
        </row>
        <row r="25">
          <cell r="F25">
            <v>1996.32</v>
          </cell>
          <cell r="R25">
            <v>3300</v>
          </cell>
        </row>
        <row r="26">
          <cell r="F26">
            <v>1990.91</v>
          </cell>
          <cell r="R26">
            <v>1650</v>
          </cell>
        </row>
        <row r="27">
          <cell r="F27">
            <v>800.42</v>
          </cell>
        </row>
        <row r="28">
          <cell r="F28">
            <v>1109.26</v>
          </cell>
          <cell r="R28">
            <v>10800</v>
          </cell>
        </row>
        <row r="29">
          <cell r="F29">
            <v>800.42</v>
          </cell>
          <cell r="X29">
            <v>32640</v>
          </cell>
        </row>
        <row r="30">
          <cell r="F30">
            <v>1371.18</v>
          </cell>
          <cell r="R30">
            <v>16100</v>
          </cell>
        </row>
        <row r="31">
          <cell r="F31">
            <v>493.48</v>
          </cell>
          <cell r="R31">
            <v>5500</v>
          </cell>
        </row>
        <row r="32">
          <cell r="F32">
            <v>749.99</v>
          </cell>
          <cell r="Z32">
            <v>900</v>
          </cell>
        </row>
        <row r="33">
          <cell r="F33">
            <v>7291.8</v>
          </cell>
        </row>
        <row r="34">
          <cell r="F34">
            <v>2579.4</v>
          </cell>
        </row>
        <row r="35">
          <cell r="F35">
            <v>14261.47</v>
          </cell>
          <cell r="R35">
            <v>3300</v>
          </cell>
        </row>
        <row r="36">
          <cell r="F36">
            <v>544.64</v>
          </cell>
          <cell r="R36">
            <v>21578</v>
          </cell>
          <cell r="X36">
            <v>10439</v>
          </cell>
        </row>
        <row r="37">
          <cell r="F37">
            <v>396.02</v>
          </cell>
        </row>
        <row r="38">
          <cell r="F38">
            <v>2711.2</v>
          </cell>
        </row>
        <row r="39">
          <cell r="F39">
            <v>1549.96</v>
          </cell>
          <cell r="R39">
            <v>3600</v>
          </cell>
        </row>
        <row r="40">
          <cell r="F40">
            <v>778.22</v>
          </cell>
          <cell r="R40">
            <v>27914.6</v>
          </cell>
          <cell r="Z40">
            <v>3960</v>
          </cell>
        </row>
        <row r="41">
          <cell r="F41">
            <v>3623.4</v>
          </cell>
        </row>
        <row r="42">
          <cell r="F42">
            <v>1047.22</v>
          </cell>
          <cell r="R42">
            <v>78324.600000000006</v>
          </cell>
        </row>
        <row r="43">
          <cell r="F43">
            <v>6957.63</v>
          </cell>
          <cell r="R43">
            <v>11603</v>
          </cell>
        </row>
        <row r="44">
          <cell r="F44">
            <v>3835.8</v>
          </cell>
          <cell r="R44">
            <v>22803</v>
          </cell>
        </row>
        <row r="45">
          <cell r="F45">
            <v>0</v>
          </cell>
        </row>
        <row r="46">
          <cell r="F46">
            <v>1298.5999999999999</v>
          </cell>
        </row>
        <row r="47">
          <cell r="F47">
            <v>1836.6</v>
          </cell>
        </row>
        <row r="48">
          <cell r="F48">
            <v>1115.44</v>
          </cell>
        </row>
        <row r="49">
          <cell r="F49">
            <v>777.34</v>
          </cell>
          <cell r="I49">
            <v>5558</v>
          </cell>
          <cell r="R49">
            <v>7553</v>
          </cell>
          <cell r="Z49">
            <v>900</v>
          </cell>
        </row>
        <row r="51">
          <cell r="F51">
            <v>0</v>
          </cell>
          <cell r="R51">
            <v>53010</v>
          </cell>
        </row>
        <row r="52">
          <cell r="F52">
            <v>1948</v>
          </cell>
        </row>
        <row r="53">
          <cell r="F53">
            <v>1495.56</v>
          </cell>
        </row>
        <row r="54">
          <cell r="F54">
            <v>1069.2</v>
          </cell>
          <cell r="X54">
            <v>130448</v>
          </cell>
        </row>
        <row r="55">
          <cell r="F55">
            <v>1549.38</v>
          </cell>
        </row>
        <row r="56">
          <cell r="F56">
            <v>2389.1</v>
          </cell>
        </row>
        <row r="57">
          <cell r="F57">
            <v>3166.52</v>
          </cell>
        </row>
        <row r="58">
          <cell r="F58">
            <v>2313.7199999999998</v>
          </cell>
          <cell r="X58">
            <v>11770</v>
          </cell>
        </row>
        <row r="59">
          <cell r="F59">
            <v>1528.8</v>
          </cell>
          <cell r="R59">
            <v>9100</v>
          </cell>
        </row>
        <row r="60">
          <cell r="F60">
            <v>705.6</v>
          </cell>
        </row>
        <row r="61">
          <cell r="F61">
            <v>1492.3</v>
          </cell>
          <cell r="R61">
            <v>9282</v>
          </cell>
        </row>
        <row r="62">
          <cell r="F62">
            <v>1181.58</v>
          </cell>
          <cell r="R62">
            <v>1650</v>
          </cell>
        </row>
        <row r="63">
          <cell r="F63">
            <v>793.65</v>
          </cell>
          <cell r="R63">
            <v>2750</v>
          </cell>
        </row>
        <row r="64">
          <cell r="X64">
            <v>16332</v>
          </cell>
          <cell r="Z64">
            <v>900</v>
          </cell>
        </row>
        <row r="65">
          <cell r="F65">
            <v>2669.36</v>
          </cell>
          <cell r="R65">
            <v>50749.599999999999</v>
          </cell>
        </row>
        <row r="66">
          <cell r="F66">
            <v>2871.74</v>
          </cell>
          <cell r="R66">
            <v>36387</v>
          </cell>
          <cell r="X66">
            <v>71600</v>
          </cell>
        </row>
        <row r="67">
          <cell r="F67">
            <v>1013.72</v>
          </cell>
          <cell r="R67">
            <v>33042.6</v>
          </cell>
        </row>
        <row r="68">
          <cell r="F68">
            <v>427.77</v>
          </cell>
        </row>
        <row r="69">
          <cell r="F69">
            <v>852.89</v>
          </cell>
        </row>
        <row r="70">
          <cell r="F70">
            <v>2151.42</v>
          </cell>
        </row>
        <row r="71">
          <cell r="F71">
            <v>571.83000000000004</v>
          </cell>
        </row>
        <row r="72">
          <cell r="F72">
            <v>1582.02</v>
          </cell>
        </row>
        <row r="73">
          <cell r="F73">
            <v>854.36</v>
          </cell>
        </row>
        <row r="74">
          <cell r="F74">
            <v>530.96</v>
          </cell>
        </row>
        <row r="75">
          <cell r="F75">
            <v>1705.78</v>
          </cell>
        </row>
        <row r="76">
          <cell r="F76">
            <v>2020.86</v>
          </cell>
          <cell r="R76">
            <v>1100</v>
          </cell>
        </row>
        <row r="77">
          <cell r="F77">
            <v>0</v>
          </cell>
          <cell r="R77">
            <v>12500</v>
          </cell>
          <cell r="Z77">
            <v>52969.5</v>
          </cell>
        </row>
        <row r="78">
          <cell r="R78">
            <v>12500</v>
          </cell>
          <cell r="Z78">
            <v>31013.5</v>
          </cell>
        </row>
        <row r="79">
          <cell r="Z79">
            <v>900</v>
          </cell>
        </row>
        <row r="80">
          <cell r="Z80">
            <v>900</v>
          </cell>
        </row>
        <row r="81">
          <cell r="F81">
            <v>1343.58</v>
          </cell>
        </row>
        <row r="82">
          <cell r="R82">
            <v>4400</v>
          </cell>
        </row>
        <row r="83">
          <cell r="F83">
            <v>0</v>
          </cell>
        </row>
        <row r="84">
          <cell r="F84">
            <v>1321.82</v>
          </cell>
          <cell r="R84">
            <v>6150</v>
          </cell>
        </row>
        <row r="85">
          <cell r="F85">
            <v>1838.98</v>
          </cell>
          <cell r="R85">
            <v>47950.6</v>
          </cell>
        </row>
        <row r="86">
          <cell r="F86">
            <v>1640.82</v>
          </cell>
          <cell r="R86">
            <v>127200</v>
          </cell>
        </row>
        <row r="87">
          <cell r="F87">
            <v>1333</v>
          </cell>
          <cell r="R87">
            <v>151440</v>
          </cell>
        </row>
        <row r="88">
          <cell r="F88">
            <v>693.84</v>
          </cell>
          <cell r="R88">
            <v>14222</v>
          </cell>
        </row>
        <row r="89">
          <cell r="F89">
            <v>695.6</v>
          </cell>
          <cell r="X89">
            <v>14014</v>
          </cell>
        </row>
        <row r="90">
          <cell r="F90">
            <v>315.76</v>
          </cell>
          <cell r="R90">
            <v>15474.6</v>
          </cell>
        </row>
        <row r="92">
          <cell r="F92">
            <v>1442.1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4"/>
  <sheetViews>
    <sheetView tabSelected="1" topLeftCell="C1" workbookViewId="0">
      <pane xSplit="8" ySplit="2" topLeftCell="K3" activePane="bottomRight" state="frozen"/>
      <selection activeCell="C1" sqref="C1"/>
      <selection pane="topRight" activeCell="J1" sqref="J1"/>
      <selection pane="bottomLeft" activeCell="C3" sqref="C3"/>
      <selection pane="bottomRight" activeCell="C58" sqref="A58:IV58"/>
    </sheetView>
  </sheetViews>
  <sheetFormatPr defaultRowHeight="12.75" outlineLevelCol="1"/>
  <cols>
    <col min="1" max="1" width="6.28515625" customWidth="1"/>
    <col min="2" max="2" width="6.85546875" customWidth="1"/>
    <col min="3" max="3" width="3.85546875" customWidth="1"/>
    <col min="4" max="4" width="15.140625" customWidth="1"/>
    <col min="5" max="5" width="6.28515625" customWidth="1"/>
    <col min="6" max="6" width="9.5703125" customWidth="1" outlineLevel="1"/>
    <col min="7" max="7" width="8.85546875" customWidth="1" outlineLevel="1"/>
    <col min="8" max="8" width="10.28515625" customWidth="1" outlineLevel="1"/>
    <col min="9" max="9" width="6.5703125" customWidth="1" outlineLevel="1"/>
    <col min="10" max="10" width="9" customWidth="1" outlineLevel="1" collapsed="1"/>
    <col min="11" max="11" width="12.42578125" customWidth="1" outlineLevel="1"/>
    <col min="12" max="12" width="12.5703125" customWidth="1" outlineLevel="1"/>
    <col min="13" max="13" width="13.7109375" customWidth="1" outlineLevel="1"/>
    <col min="14" max="14" width="11.140625" customWidth="1" outlineLevel="1"/>
    <col min="15" max="16" width="12.85546875" customWidth="1" outlineLevel="1"/>
    <col min="17" max="17" width="13.5703125" customWidth="1" outlineLevel="1"/>
    <col min="18" max="18" width="13.42578125" customWidth="1" outlineLevel="1"/>
    <col min="19" max="19" width="12.42578125" customWidth="1" outlineLevel="1"/>
    <col min="20" max="20" width="13.42578125" customWidth="1" outlineLevel="1"/>
    <col min="21" max="21" width="13.5703125" customWidth="1" outlineLevel="1"/>
    <col min="22" max="23" width="14.42578125" customWidth="1" outlineLevel="1"/>
    <col min="24" max="25" width="11.5703125" customWidth="1" outlineLevel="1"/>
    <col min="26" max="26" width="11.85546875" customWidth="1" outlineLevel="1"/>
    <col min="27" max="27" width="12.140625" customWidth="1" outlineLevel="1"/>
    <col min="28" max="29" width="13.42578125" customWidth="1" outlineLevel="1"/>
    <col min="30" max="30" width="12.140625" customWidth="1" outlineLevel="1"/>
    <col min="31" max="31" width="11.5703125" customWidth="1" outlineLevel="1"/>
    <col min="32" max="32" width="11.7109375" customWidth="1" outlineLevel="1"/>
    <col min="33" max="33" width="13" customWidth="1" outlineLevel="1"/>
    <col min="34" max="34" width="12.5703125" customWidth="1" outlineLevel="1"/>
    <col min="35" max="36" width="13.28515625" customWidth="1" outlineLevel="1"/>
    <col min="37" max="37" width="17.140625" customWidth="1" outlineLevel="1"/>
    <col min="38" max="39" width="15.5703125" customWidth="1" outlineLevel="1"/>
    <col min="40" max="40" width="14" customWidth="1" outlineLevel="1"/>
    <col min="41" max="41" width="13.85546875" customWidth="1"/>
    <col min="42" max="42" width="13.7109375" customWidth="1"/>
    <col min="43" max="43" width="14.5703125" customWidth="1"/>
  </cols>
  <sheetData>
    <row r="1" spans="1:55" ht="21.75" customHeight="1">
      <c r="A1" s="1"/>
      <c r="B1" s="2"/>
      <c r="C1" s="109"/>
      <c r="E1" s="14" t="s">
        <v>310</v>
      </c>
      <c r="F1" s="14"/>
      <c r="G1" s="14"/>
      <c r="H1" s="14"/>
      <c r="I1" s="14"/>
      <c r="J1" s="2"/>
      <c r="K1" s="2"/>
      <c r="L1" s="1"/>
      <c r="M1" s="2"/>
      <c r="N1" s="2"/>
      <c r="O1" s="186"/>
      <c r="P1" s="186"/>
      <c r="Q1" s="2"/>
      <c r="R1" s="27"/>
      <c r="S1" s="27" t="s">
        <v>319</v>
      </c>
      <c r="T1" s="27"/>
      <c r="U1" s="12" t="s">
        <v>47</v>
      </c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32"/>
      <c r="AI1" s="13"/>
      <c r="AJ1" s="13"/>
      <c r="AK1" s="2"/>
      <c r="AL1" s="2"/>
      <c r="AM1" s="2"/>
      <c r="AN1" s="32"/>
      <c r="AO1" s="32"/>
      <c r="AP1" s="22"/>
    </row>
    <row r="2" spans="1:55" ht="102">
      <c r="A2" s="3" t="s">
        <v>72</v>
      </c>
      <c r="B2" s="3"/>
      <c r="C2" s="3"/>
      <c r="D2" s="63" t="s">
        <v>73</v>
      </c>
      <c r="E2" s="63" t="s">
        <v>74</v>
      </c>
      <c r="F2" s="63" t="s">
        <v>75</v>
      </c>
      <c r="G2" s="63" t="s">
        <v>76</v>
      </c>
      <c r="H2" s="122" t="s">
        <v>197</v>
      </c>
      <c r="I2" s="63"/>
      <c r="J2" s="63" t="s">
        <v>70</v>
      </c>
      <c r="K2" s="130" t="s">
        <v>318</v>
      </c>
      <c r="L2" s="7" t="s">
        <v>311</v>
      </c>
      <c r="M2" s="7" t="s">
        <v>312</v>
      </c>
      <c r="N2" s="7" t="s">
        <v>313</v>
      </c>
      <c r="O2" s="7" t="s">
        <v>314</v>
      </c>
      <c r="P2" s="7" t="s">
        <v>397</v>
      </c>
      <c r="Q2" s="5" t="s">
        <v>200</v>
      </c>
      <c r="R2" s="5" t="s">
        <v>315</v>
      </c>
      <c r="S2" s="5" t="s">
        <v>316</v>
      </c>
      <c r="T2" s="5" t="s">
        <v>317</v>
      </c>
      <c r="U2" s="8" t="s">
        <v>45</v>
      </c>
      <c r="V2" s="8" t="s">
        <v>183</v>
      </c>
      <c r="W2" s="8" t="s">
        <v>44</v>
      </c>
      <c r="X2" s="8" t="s">
        <v>78</v>
      </c>
      <c r="Y2" s="8" t="s">
        <v>77</v>
      </c>
      <c r="Z2" s="8" t="s">
        <v>48</v>
      </c>
      <c r="AA2" s="8" t="s">
        <v>42</v>
      </c>
      <c r="AB2" s="8" t="s">
        <v>208</v>
      </c>
      <c r="AC2" s="8" t="s">
        <v>209</v>
      </c>
      <c r="AD2" s="8" t="s">
        <v>207</v>
      </c>
      <c r="AE2" s="8" t="s">
        <v>46</v>
      </c>
      <c r="AF2" s="8" t="s">
        <v>327</v>
      </c>
      <c r="AG2" s="8" t="s">
        <v>84</v>
      </c>
      <c r="AH2" s="5" t="s">
        <v>69</v>
      </c>
      <c r="AI2" s="10" t="s">
        <v>123</v>
      </c>
      <c r="AJ2" s="10" t="s">
        <v>68</v>
      </c>
      <c r="AK2" s="10" t="s">
        <v>124</v>
      </c>
      <c r="AL2" s="10" t="s">
        <v>125</v>
      </c>
      <c r="AM2" s="10" t="s">
        <v>126</v>
      </c>
      <c r="AN2" s="5" t="s">
        <v>34</v>
      </c>
      <c r="AO2" s="5" t="s">
        <v>35</v>
      </c>
      <c r="AP2" s="127" t="s">
        <v>306</v>
      </c>
      <c r="BC2" s="4"/>
    </row>
    <row r="3" spans="1:55">
      <c r="B3" s="4"/>
      <c r="C3" s="4"/>
      <c r="D3" s="64"/>
      <c r="E3" s="64"/>
      <c r="F3" s="64"/>
      <c r="G3" s="64"/>
      <c r="H3" s="64"/>
      <c r="I3" s="64"/>
      <c r="J3" s="64"/>
      <c r="K3" s="140"/>
      <c r="L3" s="65"/>
      <c r="M3" s="65"/>
      <c r="N3" s="65"/>
      <c r="O3" s="65"/>
      <c r="P3" s="65"/>
      <c r="Q3" s="6"/>
      <c r="R3" s="6"/>
      <c r="S3" s="6"/>
      <c r="T3" s="6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6"/>
      <c r="AI3" s="11"/>
      <c r="AJ3" s="11"/>
      <c r="AK3" s="11"/>
      <c r="AL3" s="11"/>
      <c r="AM3" s="11"/>
      <c r="AN3" s="6"/>
      <c r="AO3" s="6"/>
      <c r="AP3" s="4"/>
    </row>
    <row r="4" spans="1:55" ht="13.5" thickBot="1">
      <c r="B4" s="4"/>
      <c r="C4" s="145">
        <v>1</v>
      </c>
      <c r="D4" s="87" t="s">
        <v>12</v>
      </c>
      <c r="E4" s="66">
        <v>1</v>
      </c>
      <c r="F4" s="66" t="s">
        <v>65</v>
      </c>
      <c r="G4" s="67">
        <v>1972</v>
      </c>
      <c r="H4" s="68">
        <f>'[3]тариф начисл. 2019 с янв'!$I$11</f>
        <v>2661.8</v>
      </c>
      <c r="I4" s="69" t="s">
        <v>40</v>
      </c>
      <c r="J4" s="69">
        <v>20.88</v>
      </c>
      <c r="K4" s="141">
        <v>170573.80999999959</v>
      </c>
      <c r="L4" s="70">
        <f>'[5]УК ЖЭУ-7 2020 год'!$J$12</f>
        <v>660664.11</v>
      </c>
      <c r="M4" s="70">
        <f>'[5]УК ЖЭУ-7 2020 год'!$M$12</f>
        <v>643375.93999999994</v>
      </c>
      <c r="N4" s="70">
        <f>'[1]1_ВЕДОМОСТЬ_2018'!$F$7</f>
        <v>0</v>
      </c>
      <c r="O4" s="86">
        <f t="shared" ref="O4:O35" si="0">K4+L4-M4+N4</f>
        <v>187861.97999999963</v>
      </c>
      <c r="P4" s="86"/>
      <c r="Q4" s="16">
        <v>4472.6100000000042</v>
      </c>
      <c r="R4" s="16">
        <f>11080.61+4956.45+4798.32</f>
        <v>20835.38</v>
      </c>
      <c r="S4" s="16">
        <f>11080.61+4233.87+998.6</f>
        <v>16313.08</v>
      </c>
      <c r="T4" s="16">
        <f>Q4+R4-S4</f>
        <v>8994.9100000000053</v>
      </c>
      <c r="U4" s="15">
        <f>'[6]тариф начисл. 2020 с янв'!$P$11</f>
        <v>2235.91</v>
      </c>
      <c r="V4" s="15">
        <f>'[6]тариф начисл. 2020 с янв'!$O$11</f>
        <v>4152.41</v>
      </c>
      <c r="W4" s="15">
        <f>'[6]тариф начисл. 2020 с янв'!$N$11</f>
        <v>195163.18</v>
      </c>
      <c r="X4" s="15"/>
      <c r="Y4" s="15"/>
      <c r="Z4" s="15">
        <f>'[6]тариф начисл. 2020 с янв'!$AC$11</f>
        <v>319.42</v>
      </c>
      <c r="AA4" s="15">
        <f>'[6]тариф начисл. 2020 с янв'!$AD$11+'[6]тариф начисл. 2020 с янв'!$AE$11</f>
        <v>30025.1</v>
      </c>
      <c r="AB4" s="15">
        <f>'[6]тариф начисл. 2020 с янв'!$AA$11</f>
        <v>1277.6600000000001</v>
      </c>
      <c r="AC4" s="15">
        <f>'[6]тариф начисл. 2020 с янв'!$AB$11+[6]год!$F$11</f>
        <v>1387.05</v>
      </c>
      <c r="AD4" s="15">
        <f>'[6]тариф начисл. 2020 с янв'!$Y$11</f>
        <v>28108.61</v>
      </c>
      <c r="AE4" s="15">
        <f>'[6]тариф начисл. 2020 с янв'!$V$11</f>
        <v>103490.78</v>
      </c>
      <c r="AF4" s="15"/>
      <c r="AG4" s="15">
        <f>'[6]тариф начисл. 2020 с янв'!$BA$11</f>
        <v>45995.9</v>
      </c>
      <c r="AH4" s="16">
        <f t="shared" ref="AH4:AH28" si="1">SUM(U4:AG4)</f>
        <v>412156.02</v>
      </c>
      <c r="AI4" s="17">
        <f>'[6]тариф начисл. 2020 с янв'!$AJ$11</f>
        <v>99338.38</v>
      </c>
      <c r="AJ4" s="17">
        <f>'[6]тариф начисл. 2020 с янв'!$AO$11+[6]год!$X$11</f>
        <v>66078.81</v>
      </c>
      <c r="AK4" s="17">
        <f>'[6]тариф начисл. 2020 с янв'!$AS$11</f>
        <v>30344.52</v>
      </c>
      <c r="AL4" s="17">
        <f>'[6]тариф начисл. 2020 с янв'!$AW$11</f>
        <v>26830.94</v>
      </c>
      <c r="AM4" s="17">
        <f>'[6]тариф начисл. 2020 с янв'!$AZ$11</f>
        <v>46634.74</v>
      </c>
      <c r="AN4" s="16">
        <f>SUM(AI4:AM4)</f>
        <v>269227.39</v>
      </c>
      <c r="AO4" s="16">
        <f t="shared" ref="AO4:AO35" si="2">AH4+AN4</f>
        <v>681383.41</v>
      </c>
      <c r="AP4" s="255">
        <f>AO4-M4-S4</f>
        <v>21694.390000000087</v>
      </c>
      <c r="AQ4" s="22">
        <f>M4+S4</f>
        <v>659689.0199999999</v>
      </c>
    </row>
    <row r="5" spans="1:55">
      <c r="A5" s="4">
        <v>1</v>
      </c>
      <c r="B5" s="20">
        <v>1</v>
      </c>
      <c r="C5" s="144">
        <v>2</v>
      </c>
      <c r="D5" s="88" t="s">
        <v>12</v>
      </c>
      <c r="E5" s="71">
        <v>3</v>
      </c>
      <c r="F5" s="71" t="s">
        <v>33</v>
      </c>
      <c r="G5" s="71">
        <v>1972</v>
      </c>
      <c r="H5" s="68">
        <f>'[2]тариф начисл. 2018 с янв'!$I$12</f>
        <v>3087.6</v>
      </c>
      <c r="I5" s="69" t="s">
        <v>40</v>
      </c>
      <c r="J5" s="72">
        <v>20.88</v>
      </c>
      <c r="K5" s="141">
        <v>128020.25999999966</v>
      </c>
      <c r="L5" s="70">
        <f>'[5]УК ЖЭУ-7 2020 год'!$J$18</f>
        <v>763376.04</v>
      </c>
      <c r="M5" s="70">
        <f>'[5]УК ЖЭУ-7 2020 год'!$M$18</f>
        <v>722020.46</v>
      </c>
      <c r="N5" s="70">
        <f>'[5]УК ЖЭУ-7 2020 год'!$K$18</f>
        <v>-897.84</v>
      </c>
      <c r="O5" s="86">
        <f t="shared" si="0"/>
        <v>168477.99999999974</v>
      </c>
      <c r="P5" s="86"/>
      <c r="Q5" s="16">
        <v>19451.170000000002</v>
      </c>
      <c r="R5" s="16">
        <f>12975.5+11416.92+4956.45+6855.43</f>
        <v>36204.300000000003</v>
      </c>
      <c r="S5" s="16">
        <f>12975.5+0+4233.87+712.86</f>
        <v>17922.23</v>
      </c>
      <c r="T5" s="16">
        <f t="shared" ref="T5:T45" si="3">Q5+R5-S5</f>
        <v>37733.240000000005</v>
      </c>
      <c r="U5" s="15">
        <f>'[3]тариф начисл. 2019 с янв'!$P$12</f>
        <v>2593.58</v>
      </c>
      <c r="V5" s="15">
        <f>'[3]тариф начисл. 2019 с янв'!$O$12+[3]авг!$F$12</f>
        <v>13861.57</v>
      </c>
      <c r="W5" s="15">
        <f>'[3]тариф начисл. 2019 с янв'!$N$12</f>
        <v>226382.83</v>
      </c>
      <c r="X5" s="15"/>
      <c r="Y5" s="15"/>
      <c r="Z5" s="15">
        <f>'[3]тариф начисл. 2019 с янв'!$AC$12</f>
        <v>370.51</v>
      </c>
      <c r="AA5" s="15">
        <f>'[3]тариф начисл. 2019 с янв'!$AD$12+'[3]тариф начисл. 2019 с янв'!$AE$12</f>
        <v>34828.120000000003</v>
      </c>
      <c r="AB5" s="15">
        <f>'[3]тариф начисл. 2019 с янв'!$AA$12</f>
        <v>1482.05</v>
      </c>
      <c r="AC5" s="15">
        <f>'[3]тариф начисл. 2019 с янв'!$AB$12+[6]год!$F$12</f>
        <v>1643.6799999999998</v>
      </c>
      <c r="AD5" s="15">
        <f>'[3]тариф начисл. 2019 с янв'!$Y$12</f>
        <v>32605.06</v>
      </c>
      <c r="AE5" s="15">
        <f>'[3]тариф начисл. 2019 с янв'!$V$12</f>
        <v>120045.89</v>
      </c>
      <c r="AF5" s="15"/>
      <c r="AG5" s="15">
        <f>'[3]тариф начисл. 2019 с янв'!$BA$12</f>
        <v>53353.73</v>
      </c>
      <c r="AH5" s="16">
        <f t="shared" si="1"/>
        <v>487167.01999999996</v>
      </c>
      <c r="AI5" s="17">
        <f>'[6]тариф начисл. 2020 с янв'!$AJ$12+[6]год!$R$12</f>
        <v>120729.23</v>
      </c>
      <c r="AJ5" s="17">
        <f>'[3]тариф начисл. 2019 с янв'!$AO$12</f>
        <v>60393.46</v>
      </c>
      <c r="AK5" s="17">
        <f>'[3]тариф начисл. 2019 с янв'!$AS$12</f>
        <v>35198.639999999999</v>
      </c>
      <c r="AL5" s="17">
        <f>'[3]тариф начисл. 2019 с янв'!$AW$12</f>
        <v>31123.01</v>
      </c>
      <c r="AM5" s="17">
        <f>'[3]тариф начисл. 2019 с янв'!$AZ$12</f>
        <v>54094.75</v>
      </c>
      <c r="AN5" s="16">
        <f t="shared" ref="AN5:AN68" si="4">SUM(AI5:AM5)</f>
        <v>301539.09000000003</v>
      </c>
      <c r="AO5" s="16">
        <f t="shared" si="2"/>
        <v>788706.11</v>
      </c>
      <c r="AP5" s="249">
        <f t="shared" ref="AP5:AP68" si="5">AO5-M5-S5</f>
        <v>48763.420000000027</v>
      </c>
      <c r="AQ5" s="22">
        <f t="shared" ref="AQ5:AQ68" si="6">M5+S5</f>
        <v>739942.69</v>
      </c>
    </row>
    <row r="6" spans="1:55">
      <c r="A6" s="4">
        <v>2</v>
      </c>
      <c r="B6" s="21">
        <v>2</v>
      </c>
      <c r="C6" s="145">
        <v>3</v>
      </c>
      <c r="D6" s="84" t="s">
        <v>12</v>
      </c>
      <c r="E6" s="73">
        <v>5</v>
      </c>
      <c r="F6" s="73" t="s">
        <v>65</v>
      </c>
      <c r="G6" s="74">
        <v>1976</v>
      </c>
      <c r="H6" s="68">
        <f>'[3]тариф начисл. 2019 с янв'!$I$13</f>
        <v>2720.4</v>
      </c>
      <c r="I6" s="69" t="s">
        <v>40</v>
      </c>
      <c r="J6" s="69">
        <v>20.88</v>
      </c>
      <c r="K6" s="141">
        <v>202604.91999999969</v>
      </c>
      <c r="L6" s="70">
        <f>'[5]УК ЖЭУ-7 2020 год'!$L$20</f>
        <v>647526.62</v>
      </c>
      <c r="M6" s="70">
        <f>'[5]УК ЖЭУ-7 2020 год'!$M$20</f>
        <v>677226.39</v>
      </c>
      <c r="N6" s="70">
        <v>0</v>
      </c>
      <c r="O6" s="86">
        <f t="shared" si="0"/>
        <v>172905.14999999967</v>
      </c>
      <c r="P6" s="86"/>
      <c r="Q6" s="16">
        <v>14762.259999999995</v>
      </c>
      <c r="R6" s="16">
        <f>10425.4+31586.64+4956.45+4798.32</f>
        <v>51766.81</v>
      </c>
      <c r="S6" s="16">
        <f>9846.19+31826.98+4233.87+3998.6</f>
        <v>49905.64</v>
      </c>
      <c r="T6" s="16">
        <f t="shared" si="3"/>
        <v>16623.429999999993</v>
      </c>
      <c r="U6" s="15">
        <f>'[3]тариф начисл. 2019 с янв'!$P$13</f>
        <v>2285.14</v>
      </c>
      <c r="V6" s="15">
        <f>'[3]тариф начисл. 2019 с янв'!$O$13+[3]авг!$F$13</f>
        <v>14630.15</v>
      </c>
      <c r="W6" s="15">
        <f>'[3]тариф начисл. 2019 с янв'!$N$13</f>
        <v>199459.73</v>
      </c>
      <c r="X6" s="15"/>
      <c r="Y6" s="15"/>
      <c r="Z6" s="15">
        <f>'[3]тариф начисл. 2019 с янв'!$AC$13</f>
        <v>326.45</v>
      </c>
      <c r="AA6" s="15">
        <f>'[3]тариф начисл. 2019 с янв'!$AD$13+'[3]тариф начисл. 2019 с янв'!$AE$13</f>
        <v>30686.12</v>
      </c>
      <c r="AB6" s="15">
        <f>'[3]тариф начисл. 2019 с янв'!$AA$13</f>
        <v>1305.79</v>
      </c>
      <c r="AC6" s="15">
        <f>'[6]тариф начисл. 2020 с янв'!$AB$13+[6]год!$F$13</f>
        <v>2039.6599999999999</v>
      </c>
      <c r="AD6" s="15">
        <f>'[3]тариф начисл. 2019 с янв'!$Y$13</f>
        <v>28727.42</v>
      </c>
      <c r="AE6" s="15">
        <f>'[3]тариф начисл. 2019 с янв'!$V$13</f>
        <v>105769.15</v>
      </c>
      <c r="AF6" s="15"/>
      <c r="AG6" s="15">
        <f>'[3]тариф начисл. 2019 с янв'!$BA$13</f>
        <v>47008.51</v>
      </c>
      <c r="AH6" s="16">
        <f t="shared" si="1"/>
        <v>432238.12</v>
      </c>
      <c r="AI6" s="17">
        <f>'[6]тариф начисл. 2020 с янв'!$AJ$13+[6]год!$R$13</f>
        <v>375448.33</v>
      </c>
      <c r="AJ6" s="17">
        <f>'[3]тариф начисл. 2019 с янв'!$AO$13+[6]год!$X$13</f>
        <v>82947.01999999999</v>
      </c>
      <c r="AK6" s="17">
        <f>'[3]тариф начисл. 2019 с янв'!$AS$13</f>
        <v>31012.560000000001</v>
      </c>
      <c r="AL6" s="17">
        <f>'[3]тариф начисл. 2019 с янв'!$AW$13</f>
        <v>27421.63</v>
      </c>
      <c r="AM6" s="17">
        <f>'[3]тариф начисл. 2019 с янв'!$AZ$13</f>
        <v>47661.41</v>
      </c>
      <c r="AN6" s="16">
        <f t="shared" si="4"/>
        <v>564490.94999999995</v>
      </c>
      <c r="AO6" s="16">
        <f t="shared" si="2"/>
        <v>996729.07</v>
      </c>
      <c r="AP6" s="256">
        <f t="shared" si="5"/>
        <v>269597.03999999992</v>
      </c>
      <c r="AQ6" s="22">
        <f t="shared" si="6"/>
        <v>727132.03</v>
      </c>
    </row>
    <row r="7" spans="1:55">
      <c r="A7" s="4">
        <v>3</v>
      </c>
      <c r="B7" s="21">
        <v>3</v>
      </c>
      <c r="C7" s="145">
        <v>4</v>
      </c>
      <c r="D7" s="84" t="s">
        <v>12</v>
      </c>
      <c r="E7" s="73">
        <v>7</v>
      </c>
      <c r="F7" s="73" t="s">
        <v>65</v>
      </c>
      <c r="G7" s="74">
        <v>1974</v>
      </c>
      <c r="H7" s="68">
        <f>'[2]тариф начисл. 2018 с янв'!$H$14</f>
        <v>2697.1</v>
      </c>
      <c r="I7" s="69" t="s">
        <v>40</v>
      </c>
      <c r="J7" s="72">
        <v>20.88</v>
      </c>
      <c r="K7" s="141">
        <v>190190.74</v>
      </c>
      <c r="L7" s="70">
        <f>'[5]УК ЖЭУ-7 2020 год'!$L$22</f>
        <v>675784.92</v>
      </c>
      <c r="M7" s="70">
        <f>'[5]УК ЖЭУ-7 2020 год'!$M$22</f>
        <v>669254.81999999995</v>
      </c>
      <c r="N7" s="70">
        <v>0</v>
      </c>
      <c r="O7" s="86">
        <f t="shared" si="0"/>
        <v>196720.84000000008</v>
      </c>
      <c r="P7" s="86"/>
      <c r="Q7" s="16">
        <v>2520.5800000000017</v>
      </c>
      <c r="R7" s="16">
        <f>10883.5+4956.45+4798.32</f>
        <v>20638.27</v>
      </c>
      <c r="S7" s="16">
        <f>10278.83+4233.87+998.6</f>
        <v>15511.300000000001</v>
      </c>
      <c r="T7" s="16">
        <f t="shared" si="3"/>
        <v>7647.5500000000011</v>
      </c>
      <c r="U7" s="15">
        <f>'[3]тариф начисл. 2019 с янв'!$P$14</f>
        <v>2265.56</v>
      </c>
      <c r="V7" s="15">
        <f>'[3]тариф начисл. 2019 с янв'!$O$14+[3]авг!$F$14</f>
        <v>41714.319999999992</v>
      </c>
      <c r="W7" s="15">
        <f>'[3]тариф начисл. 2019 с янв'!$N$14</f>
        <v>197751.37</v>
      </c>
      <c r="X7" s="15"/>
      <c r="Y7" s="15"/>
      <c r="Z7" s="15">
        <f>'[3]тариф начисл. 2019 с янв'!$AC$14</f>
        <v>323.64999999999998</v>
      </c>
      <c r="AA7" s="15">
        <f>'[3]тариф начисл. 2019 с янв'!$AD$14+'[3]тариф начисл. 2019 с янв'!$AE$14</f>
        <v>30423.279999999999</v>
      </c>
      <c r="AB7" s="15">
        <f>'[3]тариф начисл. 2019 с янв'!$AA$14</f>
        <v>1294.6099999999999</v>
      </c>
      <c r="AC7" s="15">
        <f>'[6]тариф начисл. 2020 с янв'!$AB$14+[6]год!$F$14</f>
        <v>1935.2800000000002</v>
      </c>
      <c r="AD7" s="15">
        <f>'[3]тариф начисл. 2019 с янв'!$Y$14</f>
        <v>28481.38</v>
      </c>
      <c r="AE7" s="15">
        <f>'[3]тариф начисл. 2019 с янв'!$V$14</f>
        <v>104863.25</v>
      </c>
      <c r="AF7" s="15"/>
      <c r="AG7" s="15">
        <f>'[3]тариф начисл. 2019 с янв'!$BA$14</f>
        <v>46605.89</v>
      </c>
      <c r="AH7" s="16">
        <f t="shared" si="1"/>
        <v>455658.59</v>
      </c>
      <c r="AI7" s="17">
        <f>'[3]тариф начисл. 2019 с янв'!$AJ$14</f>
        <v>100655.77</v>
      </c>
      <c r="AJ7" s="17">
        <f>'[3]тариф начисл. 2019 с янв'!$AO$14</f>
        <v>52755.28</v>
      </c>
      <c r="AK7" s="17">
        <f>'[3]тариф начисл. 2019 с янв'!$AS$14</f>
        <v>30746.94</v>
      </c>
      <c r="AL7" s="17">
        <f>'[3]тариф начисл. 2019 с янв'!$AW$14</f>
        <v>27186.77</v>
      </c>
      <c r="AM7" s="17">
        <f>'[3]тариф начисл. 2019 с янв'!$AZ$14</f>
        <v>47253.19</v>
      </c>
      <c r="AN7" s="16">
        <f t="shared" si="4"/>
        <v>258597.94999999998</v>
      </c>
      <c r="AO7" s="16">
        <f t="shared" si="2"/>
        <v>714256.54</v>
      </c>
      <c r="AP7" s="247">
        <f t="shared" si="5"/>
        <v>29490.420000000086</v>
      </c>
      <c r="AQ7" s="22">
        <f t="shared" si="6"/>
        <v>684766.12</v>
      </c>
    </row>
    <row r="8" spans="1:55">
      <c r="A8" s="4">
        <v>4</v>
      </c>
      <c r="B8" s="20">
        <v>4</v>
      </c>
      <c r="C8" s="144">
        <v>5</v>
      </c>
      <c r="D8" s="84" t="s">
        <v>12</v>
      </c>
      <c r="E8" s="73">
        <v>9</v>
      </c>
      <c r="F8" s="73" t="s">
        <v>65</v>
      </c>
      <c r="G8" s="74">
        <v>1974</v>
      </c>
      <c r="H8" s="68">
        <f>'[2]тариф начисл. 2018 с янв'!$I$15</f>
        <v>2730</v>
      </c>
      <c r="I8" s="69" t="s">
        <v>40</v>
      </c>
      <c r="J8" s="69">
        <v>20.88</v>
      </c>
      <c r="K8" s="141">
        <v>208438.56000000006</v>
      </c>
      <c r="L8" s="70">
        <f>'[4]УК 2019'!$J$23</f>
        <v>673204.56</v>
      </c>
      <c r="M8" s="70">
        <f>'[5]УК ЖЭУ-7 2020 год'!$M$23</f>
        <v>668346.19999999995</v>
      </c>
      <c r="N8" s="70">
        <v>0</v>
      </c>
      <c r="O8" s="86">
        <f t="shared" si="0"/>
        <v>213296.92000000016</v>
      </c>
      <c r="P8" s="86"/>
      <c r="Q8" s="16">
        <v>-1550.4500000000007</v>
      </c>
      <c r="R8" s="16">
        <f>9326.4+4956.45+4798.32</f>
        <v>19081.169999999998</v>
      </c>
      <c r="S8" s="16">
        <f>0+4233.87+998.6</f>
        <v>5232.47</v>
      </c>
      <c r="T8" s="16">
        <f t="shared" si="3"/>
        <v>12298.249999999996</v>
      </c>
      <c r="U8" s="15">
        <f>'[3]тариф начисл. 2019 с янв'!$P$15</f>
        <v>2293.1999999999998</v>
      </c>
      <c r="V8" s="15">
        <f>'[3]тариф начисл. 2019 с янв'!$O$15+[3]авг!$F$15</f>
        <v>52594.86</v>
      </c>
      <c r="W8" s="15">
        <f>'[3]тариф начисл. 2019 с янв'!$N$15</f>
        <v>200163.6</v>
      </c>
      <c r="X8" s="15"/>
      <c r="Y8" s="15"/>
      <c r="Z8" s="15">
        <f>'[3]тариф начисл. 2019 с янв'!$AC$15</f>
        <v>327.60000000000002</v>
      </c>
      <c r="AA8" s="15">
        <f>'[3]тариф начисл. 2019 с янв'!$AD$15+'[3]тариф начисл. 2019 с янв'!$AE$15</f>
        <v>30794.400000000001</v>
      </c>
      <c r="AB8" s="15">
        <f>'[3]тариф начисл. 2019 с янв'!$AA$15</f>
        <v>1310.4000000000001</v>
      </c>
      <c r="AC8" s="15">
        <f>'[6]тариф начисл. 2020 с янв'!$AB$15+[6]год!$F$15</f>
        <v>2341.6499999999996</v>
      </c>
      <c r="AD8" s="15">
        <f>'[3]тариф начисл. 2019 с янв'!$Y$15</f>
        <v>28828.799999999999</v>
      </c>
      <c r="AE8" s="15">
        <f>'[3]тариф начисл. 2019 с янв'!$V$15</f>
        <v>106142.39999999999</v>
      </c>
      <c r="AF8" s="15"/>
      <c r="AG8" s="15">
        <f>'[3]тариф начисл. 2019 с янв'!$BA$15</f>
        <v>47174.400000000001</v>
      </c>
      <c r="AH8" s="16">
        <f t="shared" si="1"/>
        <v>471971.31000000006</v>
      </c>
      <c r="AI8" s="17">
        <f>'[3]тариф начисл. 2019 с янв'!$AJ$15</f>
        <v>101883.6</v>
      </c>
      <c r="AJ8" s="17">
        <f>'[3]тариф начисл. 2019 с янв'!$AO$15</f>
        <v>53398.8</v>
      </c>
      <c r="AK8" s="17">
        <f>'[3]тариф начисл. 2019 с янв'!$AS$15</f>
        <v>31122</v>
      </c>
      <c r="AL8" s="17">
        <f>'[3]тариф начисл. 2019 с янв'!$AW$15</f>
        <v>27518.400000000001</v>
      </c>
      <c r="AM8" s="17">
        <f>'[3]тариф начисл. 2019 с янв'!$AZ$15</f>
        <v>47829.599999999999</v>
      </c>
      <c r="AN8" s="16">
        <f t="shared" si="4"/>
        <v>261752.40000000002</v>
      </c>
      <c r="AO8" s="16">
        <f t="shared" si="2"/>
        <v>733723.71000000008</v>
      </c>
      <c r="AP8" s="247">
        <f t="shared" si="5"/>
        <v>60145.040000000125</v>
      </c>
      <c r="AQ8" s="22">
        <f t="shared" si="6"/>
        <v>673578.66999999993</v>
      </c>
    </row>
    <row r="9" spans="1:55">
      <c r="A9" s="4">
        <v>5</v>
      </c>
      <c r="B9" s="21">
        <v>5</v>
      </c>
      <c r="C9" s="145">
        <v>6</v>
      </c>
      <c r="D9" s="84" t="s">
        <v>12</v>
      </c>
      <c r="E9" s="73">
        <v>11</v>
      </c>
      <c r="F9" s="73" t="s">
        <v>65</v>
      </c>
      <c r="G9" s="74">
        <v>1974</v>
      </c>
      <c r="H9" s="68">
        <f>'[2]тариф начисл. 2018 с янв'!$I$16</f>
        <v>2689.6</v>
      </c>
      <c r="I9" s="69" t="s">
        <v>40</v>
      </c>
      <c r="J9" s="72">
        <v>20.88</v>
      </c>
      <c r="K9" s="141">
        <v>230185.00999999989</v>
      </c>
      <c r="L9" s="70">
        <f>'[5]УК ЖЭУ-7 2020 год'!$L$13</f>
        <v>674075.25</v>
      </c>
      <c r="M9" s="70">
        <f>'[5]УК ЖЭУ-7 2020 год'!$M$13</f>
        <v>665617.14</v>
      </c>
      <c r="N9" s="70">
        <v>0</v>
      </c>
      <c r="O9" s="86">
        <f t="shared" si="0"/>
        <v>238643.11999999988</v>
      </c>
      <c r="P9" s="86"/>
      <c r="Q9" s="16">
        <v>2520.5500000000011</v>
      </c>
      <c r="R9" s="16">
        <f>4956.45+4798.32</f>
        <v>9754.77</v>
      </c>
      <c r="S9" s="16">
        <f>4233.87+998.6</f>
        <v>5232.47</v>
      </c>
      <c r="T9" s="16">
        <f t="shared" si="3"/>
        <v>7042.8500000000013</v>
      </c>
      <c r="U9" s="15">
        <f>'[3]тариф начисл. 2019 с янв'!$P$16</f>
        <v>2259.2600000000002</v>
      </c>
      <c r="V9" s="15">
        <f>'[3]тариф начисл. 2019 с янв'!$O$16+[3]авг!$F$16</f>
        <v>27315.129999999997</v>
      </c>
      <c r="W9" s="15">
        <f>'[3]тариф начисл. 2019 с янв'!$N$16</f>
        <v>197201.47</v>
      </c>
      <c r="X9" s="15"/>
      <c r="Y9" s="15"/>
      <c r="Z9" s="15">
        <f>'[3]тариф начисл. 2019 с янв'!$AC$16</f>
        <v>322.75</v>
      </c>
      <c r="AA9" s="15">
        <f>'[3]тариф начисл. 2019 с янв'!$AD$16+'[3]тариф начисл. 2019 с янв'!$AE$16</f>
        <v>30338.68</v>
      </c>
      <c r="AB9" s="15">
        <f>'[3]тариф начисл. 2019 с янв'!$AA$16</f>
        <v>1291.01</v>
      </c>
      <c r="AC9" s="15">
        <f>'[3]тариф начисл. 2019 с янв'!$AB$16+[6]год!$F$16</f>
        <v>1953.79</v>
      </c>
      <c r="AD9" s="15">
        <f>'[3]тариф начисл. 2019 с янв'!$Y$16</f>
        <v>28402.18</v>
      </c>
      <c r="AE9" s="15">
        <f>'[3]тариф начисл. 2019 с янв'!$V$16</f>
        <v>104571.65</v>
      </c>
      <c r="AF9" s="15"/>
      <c r="AG9" s="15">
        <f>'[3]тариф начисл. 2019 с янв'!$BA$16</f>
        <v>46476.29</v>
      </c>
      <c r="AH9" s="16">
        <f t="shared" si="1"/>
        <v>440132.21</v>
      </c>
      <c r="AI9" s="17">
        <f>'[3]тариф начисл. 2019 с янв'!$AJ$16</f>
        <v>100375.87</v>
      </c>
      <c r="AJ9" s="17">
        <f>'[3]тариф начисл. 2019 с янв'!$AO$16</f>
        <v>52608.58</v>
      </c>
      <c r="AK9" s="17">
        <f>'[3]тариф начисл. 2019 с янв'!$AS$16</f>
        <v>30661.439999999999</v>
      </c>
      <c r="AL9" s="17">
        <f>'[3]тариф начисл. 2019 с янв'!$AW$16</f>
        <v>27111.17</v>
      </c>
      <c r="AM9" s="17">
        <f>'[3]тариф начисл. 2019 с янв'!$AZ$16</f>
        <v>47121.79</v>
      </c>
      <c r="AN9" s="16">
        <f t="shared" si="4"/>
        <v>257878.85</v>
      </c>
      <c r="AO9" s="16">
        <f t="shared" si="2"/>
        <v>698011.06</v>
      </c>
      <c r="AP9" s="247">
        <f t="shared" si="5"/>
        <v>27161.450000000041</v>
      </c>
      <c r="AQ9" s="22">
        <f t="shared" si="6"/>
        <v>670849.61</v>
      </c>
    </row>
    <row r="10" spans="1:55">
      <c r="A10" s="4">
        <v>6</v>
      </c>
      <c r="B10" s="21">
        <v>6</v>
      </c>
      <c r="C10" s="145">
        <v>7</v>
      </c>
      <c r="D10" s="84" t="s">
        <v>12</v>
      </c>
      <c r="E10" s="73">
        <v>13</v>
      </c>
      <c r="F10" s="73" t="s">
        <v>65</v>
      </c>
      <c r="G10" s="74">
        <v>1974</v>
      </c>
      <c r="H10" s="68">
        <f>'[3]тариф начисл. 2019 с янв'!$I$17</f>
        <v>2720.1</v>
      </c>
      <c r="I10" s="69" t="s">
        <v>40</v>
      </c>
      <c r="J10" s="69">
        <v>20.88</v>
      </c>
      <c r="K10" s="141">
        <v>142867.31999999995</v>
      </c>
      <c r="L10" s="70">
        <f>'[5]УК ЖЭУ-7 2020 год'!$L$15</f>
        <v>666113.88</v>
      </c>
      <c r="M10" s="70">
        <f>'[5]УК ЖЭУ-7 2020 год'!$M$15</f>
        <v>717916.87</v>
      </c>
      <c r="N10" s="70">
        <v>0</v>
      </c>
      <c r="O10" s="86">
        <f t="shared" si="0"/>
        <v>91064.329999999958</v>
      </c>
      <c r="P10" s="86"/>
      <c r="Q10" s="16">
        <v>2520.5500000000029</v>
      </c>
      <c r="R10" s="16">
        <f>15888.96+4956.45+4798.32</f>
        <v>25643.73</v>
      </c>
      <c r="S10" s="16">
        <f>15888.96+4233.87+998.6</f>
        <v>21121.429999999997</v>
      </c>
      <c r="T10" s="16">
        <f t="shared" si="3"/>
        <v>7042.8500000000058</v>
      </c>
      <c r="U10" s="15">
        <f>'[3]тариф начисл. 2019 с янв'!$P$17</f>
        <v>2284.88</v>
      </c>
      <c r="V10" s="15">
        <f>'[3]тариф начисл. 2019 с янв'!$O$17+[3]авг!$F$17</f>
        <v>47998.69</v>
      </c>
      <c r="W10" s="15">
        <f>'[3]тариф начисл. 2019 с янв'!$N$17</f>
        <v>199437.73</v>
      </c>
      <c r="X10" s="15"/>
      <c r="Y10" s="15"/>
      <c r="Z10" s="15">
        <f>'[3]тариф начисл. 2019 с янв'!$AC$17</f>
        <v>326.41000000000003</v>
      </c>
      <c r="AA10" s="15">
        <f>'[3]тариф начисл. 2019 с янв'!$AD$17+'[3]тариф начисл. 2019 с янв'!$AE$17</f>
        <v>30682.720000000001</v>
      </c>
      <c r="AB10" s="15">
        <f>'[3]тариф начисл. 2019 с янв'!$AA$17</f>
        <v>1305.6500000000001</v>
      </c>
      <c r="AC10" s="15">
        <f>'[6]тариф начисл. 2020 с янв'!$AB$17+[6]год!$F$17</f>
        <v>1755.6599999999999</v>
      </c>
      <c r="AD10" s="15">
        <f>'[3]тариф начисл. 2019 с янв'!$Y$17</f>
        <v>28724.26</v>
      </c>
      <c r="AE10" s="15">
        <f>'[3]тариф начисл. 2019 с янв'!$V$17</f>
        <v>105757.49</v>
      </c>
      <c r="AF10" s="15"/>
      <c r="AG10" s="15">
        <f>'[3]тариф начисл. 2019 с янв'!$BA$17</f>
        <v>47003.33</v>
      </c>
      <c r="AH10" s="16">
        <f t="shared" si="1"/>
        <v>465276.82000000007</v>
      </c>
      <c r="AI10" s="17">
        <f>'[3]тариф начисл. 2019 с янв'!$AJ$17+[6]год!$R$17</f>
        <v>103164.13</v>
      </c>
      <c r="AJ10" s="17">
        <f>'[3]тариф начисл. 2019 с янв'!$AO$17+[6]год!$X$17</f>
        <v>64975.16</v>
      </c>
      <c r="AK10" s="17">
        <f>'[3]тариф начисл. 2019 с янв'!$AS$17</f>
        <v>31009.14</v>
      </c>
      <c r="AL10" s="17">
        <f>'[3]тариф начисл. 2019 с янв'!$AW$17</f>
        <v>27418.61</v>
      </c>
      <c r="AM10" s="17">
        <f>'[3]тариф начисл. 2019 с янв'!$AZ$17+[6]дек!$AR$17</f>
        <v>79860.149999999994</v>
      </c>
      <c r="AN10" s="16">
        <f t="shared" si="4"/>
        <v>306427.18999999994</v>
      </c>
      <c r="AO10" s="16">
        <f t="shared" si="2"/>
        <v>771704.01</v>
      </c>
      <c r="AP10" s="255">
        <f t="shared" si="5"/>
        <v>32665.710000000017</v>
      </c>
      <c r="AQ10" s="22">
        <f t="shared" si="6"/>
        <v>739038.3</v>
      </c>
    </row>
    <row r="11" spans="1:55">
      <c r="A11" s="4">
        <v>7</v>
      </c>
      <c r="B11" s="20">
        <v>7</v>
      </c>
      <c r="C11" s="144">
        <v>8</v>
      </c>
      <c r="D11" s="84" t="s">
        <v>12</v>
      </c>
      <c r="E11" s="73">
        <v>17</v>
      </c>
      <c r="F11" s="73" t="s">
        <v>65</v>
      </c>
      <c r="G11" s="74">
        <v>1975</v>
      </c>
      <c r="H11" s="68">
        <f>'[3]тариф начисл. 2019 с янв'!$I$18</f>
        <v>5358</v>
      </c>
      <c r="I11" s="69" t="s">
        <v>40</v>
      </c>
      <c r="J11" s="72">
        <v>20.88</v>
      </c>
      <c r="K11" s="141">
        <v>390381.95000000042</v>
      </c>
      <c r="L11" s="70">
        <f>'[5]УК ЖЭУ-7 2020 год'!$L$16</f>
        <v>1311656.92</v>
      </c>
      <c r="M11" s="70">
        <f>'[5]УК ЖЭУ-7 2020 год'!$M$16</f>
        <v>1259034.4099999999</v>
      </c>
      <c r="N11" s="70">
        <v>0</v>
      </c>
      <c r="O11" s="86">
        <f t="shared" si="0"/>
        <v>443004.46000000043</v>
      </c>
      <c r="P11" s="86"/>
      <c r="Q11" s="16">
        <v>3122.2799999999988</v>
      </c>
      <c r="R11" s="16">
        <f>21305.42+77922.39</f>
        <v>99227.81</v>
      </c>
      <c r="S11" s="16">
        <f>21305.42+74800.11</f>
        <v>96105.53</v>
      </c>
      <c r="T11" s="16">
        <f t="shared" si="3"/>
        <v>6244.5599999999977</v>
      </c>
      <c r="U11" s="15">
        <f>'[3]тариф начисл. 2019 с янв'!$P$18</f>
        <v>4500.72</v>
      </c>
      <c r="V11" s="15">
        <f>'[3]тариф начисл. 2019 с янв'!$O$18+[3]авг!$F$18</f>
        <v>21570.42</v>
      </c>
      <c r="W11" s="15">
        <f>'[3]тариф начисл. 2019 с янв'!$N$18</f>
        <v>392848.56</v>
      </c>
      <c r="X11" s="15"/>
      <c r="Y11" s="15"/>
      <c r="Z11" s="15">
        <f>'[3]тариф начисл. 2019 с янв'!$AC$18</f>
        <v>642.96</v>
      </c>
      <c r="AA11" s="15">
        <f>'[3]тариф начисл. 2019 с янв'!$AD$18+'[3]тариф начисл. 2019 с янв'!$AE$18</f>
        <v>60438.239999999998</v>
      </c>
      <c r="AB11" s="15">
        <f>'[3]тариф начисл. 2019 с янв'!$AA$18</f>
        <v>2571.84</v>
      </c>
      <c r="AC11" s="15">
        <f>'[6]тариф начисл. 2020 с янв'!$AB$18+[6]год!$F$18</f>
        <v>3799.8900000000003</v>
      </c>
      <c r="AD11" s="15">
        <f>'[3]тариф начисл. 2019 с янв'!$Y$18</f>
        <v>56580.480000000003</v>
      </c>
      <c r="AE11" s="15">
        <f>'[3]тариф начисл. 2019 с янв'!$V$18</f>
        <v>208319.04</v>
      </c>
      <c r="AF11" s="15"/>
      <c r="AG11" s="15">
        <f>'[3]тариф начисл. 2019 с янв'!$BA$18</f>
        <v>92586.240000000005</v>
      </c>
      <c r="AH11" s="16">
        <f t="shared" si="1"/>
        <v>843858.39000000013</v>
      </c>
      <c r="AI11" s="17">
        <f>'[6]тариф начисл. 2020 с янв'!$AJ$18</f>
        <v>199960.56</v>
      </c>
      <c r="AJ11" s="17">
        <f>'[3]тариф начисл. 2019 с янв'!$AO$18</f>
        <v>104802.48</v>
      </c>
      <c r="AK11" s="17">
        <f>'[3]тариф начисл. 2019 с янв'!$AS$18</f>
        <v>61081.2</v>
      </c>
      <c r="AL11" s="17">
        <f>'[3]тариф начисл. 2019 с янв'!$AW$18</f>
        <v>54008.639999999999</v>
      </c>
      <c r="AM11" s="17">
        <f>'[3]тариф начисл. 2019 с янв'!$AZ$18+[6]дек!$AG$18+[6]дек!$AR$18</f>
        <v>150105.16</v>
      </c>
      <c r="AN11" s="16">
        <f t="shared" si="4"/>
        <v>569958.04</v>
      </c>
      <c r="AO11" s="16">
        <f t="shared" si="2"/>
        <v>1413816.4300000002</v>
      </c>
      <c r="AP11" s="256">
        <f t="shared" si="5"/>
        <v>58676.490000000253</v>
      </c>
      <c r="AQ11" s="22">
        <f t="shared" si="6"/>
        <v>1355139.94</v>
      </c>
    </row>
    <row r="12" spans="1:55">
      <c r="A12" s="4">
        <v>8</v>
      </c>
      <c r="B12" s="21">
        <v>8</v>
      </c>
      <c r="C12" s="145">
        <v>9</v>
      </c>
      <c r="D12" s="84" t="s">
        <v>12</v>
      </c>
      <c r="E12" s="73" t="s">
        <v>17</v>
      </c>
      <c r="F12" s="73" t="s">
        <v>65</v>
      </c>
      <c r="G12" s="74">
        <v>1976</v>
      </c>
      <c r="H12" s="68">
        <f>'[2]тариф начисл. 2018 с янв'!$I$19</f>
        <v>2711.4</v>
      </c>
      <c r="I12" s="69" t="s">
        <v>40</v>
      </c>
      <c r="J12" s="69">
        <v>20.88</v>
      </c>
      <c r="K12" s="141">
        <v>95364.469999999856</v>
      </c>
      <c r="L12" s="70">
        <f>'[5]УК ЖЭУ-7 2020 год'!$L$14</f>
        <v>679368.6</v>
      </c>
      <c r="M12" s="70">
        <f>'[5]УК ЖЭУ-7 2020 год'!$M$14</f>
        <v>692075.24</v>
      </c>
      <c r="N12" s="70">
        <v>0</v>
      </c>
      <c r="O12" s="86">
        <f t="shared" si="0"/>
        <v>82657.829999999842</v>
      </c>
      <c r="P12" s="86"/>
      <c r="Q12" s="16">
        <v>2520.5500000000011</v>
      </c>
      <c r="R12" s="16">
        <f>4956.45+4798.32</f>
        <v>9754.77</v>
      </c>
      <c r="S12" s="16">
        <f>4233.87+998.6</f>
        <v>5232.47</v>
      </c>
      <c r="T12" s="16">
        <f t="shared" si="3"/>
        <v>7042.8500000000013</v>
      </c>
      <c r="U12" s="15">
        <f>'[3]тариф начисл. 2019 с янв'!$P$19</f>
        <v>2277.58</v>
      </c>
      <c r="V12" s="15">
        <f>'[3]тариф начисл. 2019 с янв'!$O$19+[3]авг!$F$19</f>
        <v>56590.159999999996</v>
      </c>
      <c r="W12" s="15">
        <f>'[3]тариф начисл. 2019 с янв'!$N$19</f>
        <v>198799.85</v>
      </c>
      <c r="X12" s="15"/>
      <c r="Y12" s="15"/>
      <c r="Z12" s="15">
        <f>'[3]тариф начисл. 2019 с янв'!$AC$19</f>
        <v>325.37</v>
      </c>
      <c r="AA12" s="15">
        <f>'[3]тариф начисл. 2019 с янв'!$AD$19+'[3]тариф начисл. 2019 с янв'!$AE$19</f>
        <v>30584.6</v>
      </c>
      <c r="AB12" s="15">
        <f>'[3]тариф начисл. 2019 с янв'!$AA$19</f>
        <v>1301.47</v>
      </c>
      <c r="AC12" s="15">
        <f>'[3]тариф начисл. 2019 с янв'!$AB$19+[6]год!$F$19</f>
        <v>1945.56</v>
      </c>
      <c r="AD12" s="15">
        <f>'[3]тариф начисл. 2019 с янв'!$Y$19</f>
        <v>28632.38</v>
      </c>
      <c r="AE12" s="15">
        <f>'[3]тариф начисл. 2019 с янв'!$V$19</f>
        <v>105419.23</v>
      </c>
      <c r="AF12" s="15"/>
      <c r="AG12" s="15">
        <f>'[3]тариф начисл. 2019 с янв'!$BA$19</f>
        <v>46852.99</v>
      </c>
      <c r="AH12" s="16">
        <f t="shared" si="1"/>
        <v>472729.18999999994</v>
      </c>
      <c r="AI12" s="17">
        <f>'[3]тариф начисл. 2019 с янв'!$AJ$19</f>
        <v>101189.45</v>
      </c>
      <c r="AJ12" s="17">
        <f>'[3]тариф начисл. 2019 с янв'!$AO$19</f>
        <v>53034.98</v>
      </c>
      <c r="AK12" s="17">
        <f>'[3]тариф начисл. 2019 с янв'!$AS$19</f>
        <v>30909.96</v>
      </c>
      <c r="AL12" s="17">
        <f>'[3]тариф начисл. 2019 с янв'!$AW$19</f>
        <v>27330.91</v>
      </c>
      <c r="AM12" s="17">
        <f>'[3]тариф начисл. 2019 с янв'!$AZ$19</f>
        <v>47503.73</v>
      </c>
      <c r="AN12" s="16">
        <f t="shared" si="4"/>
        <v>259969.03</v>
      </c>
      <c r="AO12" s="16">
        <f t="shared" si="2"/>
        <v>732698.22</v>
      </c>
      <c r="AP12" s="247">
        <f t="shared" si="5"/>
        <v>35390.50999999998</v>
      </c>
      <c r="AQ12" s="22">
        <f t="shared" si="6"/>
        <v>697307.71</v>
      </c>
    </row>
    <row r="13" spans="1:55">
      <c r="A13" s="4">
        <v>9</v>
      </c>
      <c r="B13" s="21">
        <v>9</v>
      </c>
      <c r="C13" s="145">
        <v>10</v>
      </c>
      <c r="D13" s="84" t="s">
        <v>12</v>
      </c>
      <c r="E13" s="73" t="s">
        <v>18</v>
      </c>
      <c r="F13" s="73" t="s">
        <v>65</v>
      </c>
      <c r="G13" s="74">
        <v>1976</v>
      </c>
      <c r="H13" s="68">
        <f>'[2]тариф начисл. 2018 с янв'!$I$20</f>
        <v>2741.2</v>
      </c>
      <c r="I13" s="69" t="s">
        <v>40</v>
      </c>
      <c r="J13" s="75">
        <v>22.28</v>
      </c>
      <c r="K13" s="142">
        <v>168330.62000000011</v>
      </c>
      <c r="L13" s="70">
        <f>'[5]УК ЖЭУ-7 2020 год'!$L$17</f>
        <v>732887.16</v>
      </c>
      <c r="M13" s="70">
        <f>'[5]УК ЖЭУ-7 2020 год'!$M$17</f>
        <v>711132.22</v>
      </c>
      <c r="N13" s="70">
        <v>0</v>
      </c>
      <c r="O13" s="86">
        <f t="shared" si="0"/>
        <v>190085.56000000017</v>
      </c>
      <c r="P13" s="86"/>
      <c r="Q13" s="16">
        <v>2520.5500000000011</v>
      </c>
      <c r="R13" s="16">
        <f>4956.45+4798.32</f>
        <v>9754.77</v>
      </c>
      <c r="S13" s="16">
        <f>4233.87+998.6</f>
        <v>5232.47</v>
      </c>
      <c r="T13" s="16">
        <f t="shared" si="3"/>
        <v>7042.8500000000013</v>
      </c>
      <c r="U13" s="15">
        <f>'[3]тариф начисл. 2019 с янв'!$P$20</f>
        <v>2302.61</v>
      </c>
      <c r="V13" s="15">
        <f>'[3]тариф начисл. 2019 с янв'!$O$20+[3]авг!$F$20</f>
        <v>41239.570000000007</v>
      </c>
      <c r="W13" s="15">
        <f>'[3]тариф начисл. 2019 с янв'!$N$20</f>
        <v>200984.78</v>
      </c>
      <c r="X13" s="15"/>
      <c r="Y13" s="15"/>
      <c r="Z13" s="15">
        <f>'[3]тариф начисл. 2019 с янв'!$AC$20</f>
        <v>328.94</v>
      </c>
      <c r="AA13" s="15">
        <f>'[3]тариф начисл. 2019 с янв'!$AD$20+'[3]тариф начисл. 2019 с янв'!$AE$20</f>
        <v>30920.74</v>
      </c>
      <c r="AB13" s="15">
        <f>'[3]тариф начисл. 2019 с янв'!$AA$20</f>
        <v>1315.78</v>
      </c>
      <c r="AC13" s="15">
        <f>'[6]тариф начисл. 2020 с янв'!$AB$20+[6]год!$F$20</f>
        <v>1852.99</v>
      </c>
      <c r="AD13" s="15">
        <f>'[3]тариф начисл. 2019 с янв'!$Y$20</f>
        <v>28947.07</v>
      </c>
      <c r="AE13" s="15">
        <f>'[3]тариф начисл. 2019 с янв'!$V$20</f>
        <v>106577.86</v>
      </c>
      <c r="AF13" s="15"/>
      <c r="AG13" s="15">
        <f>'[3]тариф начисл. 2019 с янв'!$BA$20</f>
        <v>47367.94</v>
      </c>
      <c r="AH13" s="16">
        <f t="shared" si="1"/>
        <v>461838.28</v>
      </c>
      <c r="AI13" s="17">
        <f>'[6]тариф начисл. 2020 с янв'!$AJ$20</f>
        <v>102301.58</v>
      </c>
      <c r="AJ13" s="17">
        <f>'[3]тариф начисл. 2019 с янв'!$AO$20+[6]год!$X$20</f>
        <v>78520.87</v>
      </c>
      <c r="AK13" s="17">
        <f>'[3]тариф начисл. 2019 с янв'!$AS$20</f>
        <v>31249.68</v>
      </c>
      <c r="AL13" s="17">
        <f>'[3]тариф начисл. 2019 с янв'!$AW$20</f>
        <v>27960.240000000002</v>
      </c>
      <c r="AM13" s="17">
        <f>'[3]тариф начисл. 2019 с янв'!$AZ$20</f>
        <v>48025.82</v>
      </c>
      <c r="AN13" s="16">
        <f t="shared" si="4"/>
        <v>288058.19</v>
      </c>
      <c r="AO13" s="16">
        <f t="shared" si="2"/>
        <v>749896.47</v>
      </c>
      <c r="AP13" s="256">
        <f t="shared" si="5"/>
        <v>33531.78</v>
      </c>
      <c r="AQ13" s="22">
        <f t="shared" si="6"/>
        <v>716364.69</v>
      </c>
    </row>
    <row r="14" spans="1:55">
      <c r="A14" s="4">
        <v>10</v>
      </c>
      <c r="B14" s="20">
        <v>10</v>
      </c>
      <c r="C14" s="144">
        <v>11</v>
      </c>
      <c r="D14" s="84" t="s">
        <v>12</v>
      </c>
      <c r="E14" s="73" t="s">
        <v>19</v>
      </c>
      <c r="F14" s="74" t="s">
        <v>32</v>
      </c>
      <c r="G14" s="73">
        <v>1994</v>
      </c>
      <c r="H14" s="68">
        <f>'[2]тариф начисл. 2018 с янв'!$I$21</f>
        <v>1843.3</v>
      </c>
      <c r="I14" s="69" t="s">
        <v>40</v>
      </c>
      <c r="J14" s="75">
        <v>21.73</v>
      </c>
      <c r="K14" s="142">
        <v>34693.5799999999</v>
      </c>
      <c r="L14" s="70">
        <f>'[5]УК ЖЭУ-7 2020 год'!$L$19</f>
        <v>374868.84</v>
      </c>
      <c r="M14" s="70">
        <f>'[5]УК ЖЭУ-7 2020 год'!$M$19</f>
        <v>373243.08</v>
      </c>
      <c r="N14" s="70">
        <v>0</v>
      </c>
      <c r="O14" s="86">
        <f t="shared" si="0"/>
        <v>36319.339999999909</v>
      </c>
      <c r="P14" s="86"/>
      <c r="Q14" s="16">
        <v>32407.369999999981</v>
      </c>
      <c r="R14" s="16">
        <f>6041.45+17768.88+90309.8</f>
        <v>114120.13</v>
      </c>
      <c r="S14" s="16">
        <f>6041.45+17768.88+8680.6</f>
        <v>32490.93</v>
      </c>
      <c r="T14" s="16">
        <f t="shared" si="3"/>
        <v>114036.57</v>
      </c>
      <c r="U14" s="15">
        <f>'[3]тариф начисл. 2019 с янв'!$P$21</f>
        <v>1548.37</v>
      </c>
      <c r="V14" s="15">
        <f>'[3]тариф начисл. 2019 с янв'!$O$21+[3]авг!$F$21</f>
        <v>19861.7</v>
      </c>
      <c r="W14" s="15">
        <f>'[3]тариф начисл. 2019 с янв'!$N$21</f>
        <v>135150.76</v>
      </c>
      <c r="X14" s="15"/>
      <c r="Y14" s="15"/>
      <c r="Z14" s="15">
        <f>'[3]тариф начисл. 2019 с янв'!$AC$21</f>
        <v>221.2</v>
      </c>
      <c r="AA14" s="15">
        <f>'[3]тариф начисл. 2019 с янв'!$AD$21+'[3]тариф начисл. 2019 с янв'!$AE$21</f>
        <v>20792.419999999998</v>
      </c>
      <c r="AB14" s="15">
        <f>'[3]тариф начисл. 2019 с янв'!$AA$21</f>
        <v>884.78</v>
      </c>
      <c r="AC14" s="15">
        <f>'[3]тариф начисл. 2019 с янв'!$AB$21+[6]год!$F$21</f>
        <v>1370.47</v>
      </c>
      <c r="AD14" s="15">
        <f>'[3]тариф начисл. 2019 с янв'!$Y$21</f>
        <v>19465.25</v>
      </c>
      <c r="AE14" s="15">
        <f>'[3]тариф начисл. 2019 с янв'!$V$21</f>
        <v>71667.5</v>
      </c>
      <c r="AF14" s="15"/>
      <c r="AG14" s="15">
        <f>'[3]тариф начисл. 2019 с янв'!$BA$21</f>
        <v>31852.22</v>
      </c>
      <c r="AH14" s="16">
        <f t="shared" si="1"/>
        <v>302814.67000000004</v>
      </c>
      <c r="AI14" s="17">
        <f>'[6]тариф начисл. 2020 с янв'!$AJ$21+[6]год!$R$21</f>
        <v>70441.960000000006</v>
      </c>
      <c r="AJ14" s="17">
        <f>'[3]тариф начисл. 2019 с янв'!$AO$21</f>
        <v>36054.949999999997</v>
      </c>
      <c r="AK14" s="17">
        <f>'[3]тариф начисл. 2019 с янв'!$AS$21</f>
        <v>39594.080000000002</v>
      </c>
      <c r="AL14" s="17">
        <f>'[3]тариф начисл. 2019 с янв'!$AW$21</f>
        <v>18801.66</v>
      </c>
      <c r="AM14" s="17">
        <f>'[3]тариф начисл. 2019 с янв'!$AZ$21</f>
        <v>32294.62</v>
      </c>
      <c r="AN14" s="16">
        <f t="shared" si="4"/>
        <v>197187.27</v>
      </c>
      <c r="AO14" s="16">
        <f t="shared" si="2"/>
        <v>500001.94000000006</v>
      </c>
      <c r="AP14" s="256">
        <f t="shared" si="5"/>
        <v>94267.930000000051</v>
      </c>
      <c r="AQ14" s="22">
        <f t="shared" si="6"/>
        <v>405734.01</v>
      </c>
    </row>
    <row r="15" spans="1:55">
      <c r="A15" s="4">
        <v>11</v>
      </c>
      <c r="B15" s="21">
        <v>11</v>
      </c>
      <c r="C15" s="145">
        <v>12</v>
      </c>
      <c r="D15" s="84" t="s">
        <v>12</v>
      </c>
      <c r="E15" s="73" t="s">
        <v>16</v>
      </c>
      <c r="F15" s="73" t="s">
        <v>65</v>
      </c>
      <c r="G15" s="74">
        <v>1974</v>
      </c>
      <c r="H15" s="68">
        <v>2694.9</v>
      </c>
      <c r="I15" s="69" t="s">
        <v>40</v>
      </c>
      <c r="J15" s="75">
        <v>20.88</v>
      </c>
      <c r="K15" s="142">
        <v>127002.01999999987</v>
      </c>
      <c r="L15" s="70">
        <f>'[5]УК ЖЭУ-7 2020 год'!$L$21</f>
        <v>675233.88</v>
      </c>
      <c r="M15" s="70">
        <f>'[5]УК ЖЭУ-7 2020 год'!$M$21</f>
        <v>656008.59</v>
      </c>
      <c r="N15" s="70">
        <v>0</v>
      </c>
      <c r="O15" s="86">
        <f t="shared" si="0"/>
        <v>146227.30999999994</v>
      </c>
      <c r="P15" s="86"/>
      <c r="Q15" s="16">
        <v>2520.5399999999936</v>
      </c>
      <c r="R15" s="16">
        <f>10876.6+16941.48+4956.45+4798.32</f>
        <v>37572.85</v>
      </c>
      <c r="S15" s="16">
        <f>10272.35+16941.48+4233.87+998.6</f>
        <v>32446.3</v>
      </c>
      <c r="T15" s="16">
        <f t="shared" si="3"/>
        <v>7647.0899999999929</v>
      </c>
      <c r="U15" s="15">
        <f>'[3]тариф начисл. 2019 с янв'!$P$22</f>
        <v>2263.7199999999998</v>
      </c>
      <c r="V15" s="15">
        <f>'[3]тариф начисл. 2019 с янв'!$O$22+[3]авг!$F$22</f>
        <v>128670.37999999999</v>
      </c>
      <c r="W15" s="15">
        <f>'[3]тариф начисл. 2019 с янв'!$N$22</f>
        <v>197590.07</v>
      </c>
      <c r="X15" s="15"/>
      <c r="Y15" s="15"/>
      <c r="Z15" s="15">
        <f>'[3]тариф начисл. 2019 с янв'!$AC$22</f>
        <v>323.39</v>
      </c>
      <c r="AA15" s="15">
        <f>'[3]тариф начисл. 2019 с янв'!$AD$22+'[3]тариф начисл. 2019 с янв'!$AE$22</f>
        <v>30398.48</v>
      </c>
      <c r="AB15" s="15">
        <f>'[3]тариф начисл. 2019 с янв'!$AA$22</f>
        <v>1293.55</v>
      </c>
      <c r="AC15" s="15">
        <f>'[3]тариф начисл. 2019 с янв'!$AB$22+[6]год!$F$22</f>
        <v>2604.23</v>
      </c>
      <c r="AD15" s="15">
        <f>'[3]тариф начисл. 2019 с янв'!$Y$22</f>
        <v>28458.14</v>
      </c>
      <c r="AE15" s="15">
        <f>'[3]тариф начисл. 2019 с янв'!$V$22</f>
        <v>104777.71</v>
      </c>
      <c r="AF15" s="15"/>
      <c r="AG15" s="15">
        <f>'[3]тариф начисл. 2019 с янв'!$BA$22</f>
        <v>46567.87</v>
      </c>
      <c r="AH15" s="16">
        <f t="shared" si="1"/>
        <v>542947.54</v>
      </c>
      <c r="AI15" s="17">
        <f>'[3]тариф начисл. 2019 с янв'!$AJ$22</f>
        <v>100573.67</v>
      </c>
      <c r="AJ15" s="17">
        <f>'[3]тариф начисл. 2019 с янв'!$AO$22</f>
        <v>52712.24</v>
      </c>
      <c r="AK15" s="17">
        <f>'[3]тариф начисл. 2019 с янв'!$AS$22</f>
        <v>30721.86</v>
      </c>
      <c r="AL15" s="17">
        <f>'[3]тариф начисл. 2019 с янв'!$AW$22</f>
        <v>27164.59</v>
      </c>
      <c r="AM15" s="17">
        <f>'[3]тариф начисл. 2019 с янв'!$AZ$22</f>
        <v>47214.65</v>
      </c>
      <c r="AN15" s="16">
        <f t="shared" si="4"/>
        <v>258387.01</v>
      </c>
      <c r="AO15" s="16">
        <f t="shared" si="2"/>
        <v>801334.55</v>
      </c>
      <c r="AP15" s="247">
        <f t="shared" si="5"/>
        <v>112879.66000000008</v>
      </c>
      <c r="AQ15" s="22">
        <f t="shared" si="6"/>
        <v>688454.89</v>
      </c>
    </row>
    <row r="16" spans="1:55">
      <c r="A16" s="4"/>
      <c r="B16" s="20"/>
      <c r="C16" s="145">
        <v>13</v>
      </c>
      <c r="D16" s="84" t="s">
        <v>93</v>
      </c>
      <c r="E16" s="73">
        <v>27</v>
      </c>
      <c r="F16" s="73" t="s">
        <v>65</v>
      </c>
      <c r="G16" s="74">
        <v>1979</v>
      </c>
      <c r="H16" s="68">
        <f>'[2]тариф начисл. 2018 с янв'!$I$74</f>
        <v>4327.2</v>
      </c>
      <c r="I16" s="69" t="s">
        <v>40</v>
      </c>
      <c r="J16" s="72">
        <v>20.88</v>
      </c>
      <c r="K16" s="141">
        <v>141657.60000000012</v>
      </c>
      <c r="L16" s="70">
        <f>'[5]УК ЖЭУ-7 2020 год'!$L$97</f>
        <v>1084148.6399999999</v>
      </c>
      <c r="M16" s="70">
        <f>'[5]УК ЖЭУ-7 2020 год'!$M$97</f>
        <v>1060616.1499999999</v>
      </c>
      <c r="N16" s="70">
        <v>0</v>
      </c>
      <c r="O16" s="86">
        <f t="shared" si="0"/>
        <v>165190.09000000008</v>
      </c>
      <c r="P16" s="86"/>
      <c r="Q16" s="16">
        <v>19975.040000000008</v>
      </c>
      <c r="R16" s="16">
        <v>64918.879999999997</v>
      </c>
      <c r="S16" s="16">
        <v>58520.34</v>
      </c>
      <c r="T16" s="16">
        <f t="shared" si="3"/>
        <v>26373.580000000016</v>
      </c>
      <c r="U16" s="15">
        <f>'[3]тариф начисл. 2019 с янв'!$P$75</f>
        <v>3634.85</v>
      </c>
      <c r="V16" s="15">
        <f>'[3]тариф начисл. 2019 с янв'!$O$75+[3]авг!$F$75</f>
        <v>54857.74</v>
      </c>
      <c r="W16" s="15">
        <f>'[3]тариф начисл. 2019 с янв'!$N$75</f>
        <v>317270.3</v>
      </c>
      <c r="X16" s="15"/>
      <c r="Y16" s="15"/>
      <c r="Z16" s="15">
        <f>'[3]тариф начисл. 2019 с янв'!$AC$75</f>
        <v>519.26</v>
      </c>
      <c r="AA16" s="15">
        <f>'[3]тариф начисл. 2019 с янв'!$AD$75+'[3]тариф начисл. 2019 с янв'!$AE$75</f>
        <v>48810.82</v>
      </c>
      <c r="AB16" s="15">
        <f>'[3]тариф начисл. 2019 с янв'!$AA$75</f>
        <v>2077.06</v>
      </c>
      <c r="AC16" s="15">
        <f>'[3]тариф начисл. 2019 с янв'!$AB$75+[6]год!$F$75</f>
        <v>3263.5699999999997</v>
      </c>
      <c r="AD16" s="15">
        <f>'[3]тариф начисл. 2019 с янв'!$Y$75</f>
        <v>45695.23</v>
      </c>
      <c r="AE16" s="15">
        <f>'[3]тариф начисл. 2019 с янв'!$V$75</f>
        <v>168241.54</v>
      </c>
      <c r="AF16" s="15"/>
      <c r="AG16" s="15">
        <f>'[3]тариф начисл. 2019 с янв'!$BA$75</f>
        <v>74774.02</v>
      </c>
      <c r="AH16" s="16">
        <f t="shared" si="1"/>
        <v>719144.39</v>
      </c>
      <c r="AI16" s="17">
        <f>'[6]тариф начисл. 2020 с янв'!$AJ$75</f>
        <v>161491.1</v>
      </c>
      <c r="AJ16" s="17">
        <f>'[3]тариф начисл. 2019 с янв'!$AO$75</f>
        <v>84640.03</v>
      </c>
      <c r="AK16" s="17">
        <f>'[3]тариф начисл. 2019 с янв'!$AS$75</f>
        <v>49330.080000000002</v>
      </c>
      <c r="AL16" s="17">
        <f>'[3]тариф начисл. 2019 с янв'!$AW$75</f>
        <v>43618.18</v>
      </c>
      <c r="AM16" s="17">
        <f>'[3]тариф начисл. 2019 с янв'!$AZ$75</f>
        <v>75812.539999999994</v>
      </c>
      <c r="AN16" s="16">
        <f t="shared" si="4"/>
        <v>414891.93</v>
      </c>
      <c r="AO16" s="16">
        <f t="shared" si="2"/>
        <v>1134036.32</v>
      </c>
      <c r="AP16" s="249">
        <f t="shared" si="5"/>
        <v>14899.830000000162</v>
      </c>
      <c r="AQ16" s="22">
        <f t="shared" si="6"/>
        <v>1119136.49</v>
      </c>
    </row>
    <row r="17" spans="1:43">
      <c r="A17" s="4">
        <v>13</v>
      </c>
      <c r="B17" s="31">
        <v>13</v>
      </c>
      <c r="C17" s="144">
        <v>14</v>
      </c>
      <c r="D17" s="84" t="s">
        <v>8</v>
      </c>
      <c r="E17" s="73">
        <v>12</v>
      </c>
      <c r="F17" s="73" t="s">
        <v>65</v>
      </c>
      <c r="G17" s="74">
        <v>1971</v>
      </c>
      <c r="H17" s="68">
        <f>'[2]тариф начисл. 2018 с янв'!$I$23</f>
        <v>4410.6000000000004</v>
      </c>
      <c r="I17" s="85" t="s">
        <v>40</v>
      </c>
      <c r="J17" s="72">
        <v>19.28</v>
      </c>
      <c r="K17" s="141">
        <v>173825.13000000012</v>
      </c>
      <c r="L17" s="70">
        <f>'[5]УК ЖЭУ-7 2020 год'!$L$37</f>
        <v>1020436.68</v>
      </c>
      <c r="M17" s="70">
        <f>'[5]УК ЖЭУ-7 2020 год'!$M$37</f>
        <v>1018691.85</v>
      </c>
      <c r="N17" s="70">
        <v>0</v>
      </c>
      <c r="O17" s="86">
        <f t="shared" si="0"/>
        <v>175569.96000000008</v>
      </c>
      <c r="P17" s="86"/>
      <c r="Q17" s="16">
        <v>6300.5599999999977</v>
      </c>
      <c r="R17" s="16">
        <f>18537.44+4956.45+6855.43</f>
        <v>30349.32</v>
      </c>
      <c r="S17" s="16">
        <f>18537.44+4233.87+712.86</f>
        <v>23484.17</v>
      </c>
      <c r="T17" s="16">
        <f t="shared" si="3"/>
        <v>13165.71</v>
      </c>
      <c r="U17" s="15">
        <f>'[3]тариф начисл. 2019 с янв'!$P$23</f>
        <v>3704.9</v>
      </c>
      <c r="V17" s="15">
        <f>'[3]тариф начисл. 2019 с янв'!$O$23+[3]авг!$F$23</f>
        <v>42917.86</v>
      </c>
      <c r="W17" s="15">
        <f>'[3]тариф начисл. 2019 с янв'!$N$23</f>
        <v>305919.21999999997</v>
      </c>
      <c r="X17" s="15"/>
      <c r="Y17" s="15"/>
      <c r="Z17" s="15">
        <f>'[3]тариф начисл. 2019 с янв'!$AC$23</f>
        <v>529.27</v>
      </c>
      <c r="AA17" s="15">
        <f>'[3]тариф начисл. 2019 с янв'!$AD$23++'[3]тариф начисл. 2019 с янв'!$AE$23</f>
        <v>49751.56</v>
      </c>
      <c r="AB17" s="15">
        <f>'[3]тариф начисл. 2019 с янв'!$AA$23</f>
        <v>2117.09</v>
      </c>
      <c r="AC17" s="15">
        <f>'[6]тариф начисл. 2020 с янв'!$AB$23+[6]год!$F$23</f>
        <v>2259.6099999999997</v>
      </c>
      <c r="AD17" s="15">
        <f>'[3]тариф начисл. 2019 с янв'!$Y$23</f>
        <v>46575.94</v>
      </c>
      <c r="AE17" s="15">
        <f>'[3]тариф начисл. 2019 с янв'!$V$23</f>
        <v>109030.03</v>
      </c>
      <c r="AF17" s="15"/>
      <c r="AG17" s="15">
        <f>'[3]тариф начисл. 2019 с янв'!$BA$23</f>
        <v>76215.17</v>
      </c>
      <c r="AH17" s="16">
        <f t="shared" si="1"/>
        <v>639020.65</v>
      </c>
      <c r="AI17" s="17">
        <f>'[6]тариф начисл. 2020 с янв'!$AJ$23+[6]год!$R$23</f>
        <v>165703.59</v>
      </c>
      <c r="AJ17" s="17">
        <f>'[3]тариф начисл. 2019 с янв'!$AO$23</f>
        <v>86271.34</v>
      </c>
      <c r="AK17" s="17">
        <f>'[3]тариф начисл. 2019 с янв'!$AS$23</f>
        <v>45517.39</v>
      </c>
      <c r="AL17" s="17">
        <f>'[3]тариф начисл. 2019 с янв'!$AW$23</f>
        <v>44458.85</v>
      </c>
      <c r="AM17" s="17">
        <f>'[3]тариф начисл. 2019 с янв'!$AZ$23</f>
        <v>77273.710000000006</v>
      </c>
      <c r="AN17" s="16">
        <f t="shared" si="4"/>
        <v>419224.88</v>
      </c>
      <c r="AO17" s="16">
        <f t="shared" si="2"/>
        <v>1058245.53</v>
      </c>
      <c r="AP17" s="249">
        <f t="shared" si="5"/>
        <v>16069.510000000053</v>
      </c>
      <c r="AQ17" s="22">
        <f t="shared" si="6"/>
        <v>1042176.02</v>
      </c>
    </row>
    <row r="18" spans="1:43">
      <c r="A18" s="4"/>
      <c r="B18" s="31"/>
      <c r="C18" s="145">
        <v>15</v>
      </c>
      <c r="D18" s="84" t="s">
        <v>8</v>
      </c>
      <c r="E18" s="83" t="s">
        <v>115</v>
      </c>
      <c r="F18" s="83" t="s">
        <v>120</v>
      </c>
      <c r="G18" s="74">
        <v>2010</v>
      </c>
      <c r="H18" s="68">
        <f>'[3]тариф начисл. 2019 с янв'!$I$24</f>
        <v>7314.6</v>
      </c>
      <c r="I18" s="85" t="s">
        <v>114</v>
      </c>
      <c r="J18" s="69">
        <v>27.27</v>
      </c>
      <c r="K18" s="141">
        <v>639652.49</v>
      </c>
      <c r="L18" s="70">
        <f>'[5]УК ЖЭУ-7 2020 год'!$J$36</f>
        <v>1336084.74</v>
      </c>
      <c r="M18" s="70">
        <f>'[5]УК ЖЭУ-7 2020 год'!$M$36</f>
        <v>1470526.86</v>
      </c>
      <c r="N18" s="70">
        <f>'[5]УК ЖЭУ-7 2020 год'!$K$36</f>
        <v>220.89</v>
      </c>
      <c r="O18" s="86">
        <f t="shared" si="0"/>
        <v>505431.25999999989</v>
      </c>
      <c r="P18" s="86"/>
      <c r="Q18" s="16">
        <v>292185.19999999995</v>
      </c>
      <c r="R18" s="16">
        <v>618493.11</v>
      </c>
      <c r="S18" s="16">
        <v>446292.98</v>
      </c>
      <c r="T18" s="16">
        <f t="shared" si="3"/>
        <v>464385.32999999996</v>
      </c>
      <c r="U18" s="15">
        <f>'[6]тариф начисл. 2020 с янв'!$P$24</f>
        <v>5120.22</v>
      </c>
      <c r="V18" s="15">
        <f>'[6]тариф начисл. 2020 с янв'!$O$24</f>
        <v>9508.98</v>
      </c>
      <c r="W18" s="15">
        <f>'[6]тариф начисл. 2020 с янв'!$N$24</f>
        <v>446922.06</v>
      </c>
      <c r="X18" s="15"/>
      <c r="Y18" s="15"/>
      <c r="Z18" s="15">
        <f>'[6]тариф начисл. 2020 с янв'!$AC$24</f>
        <v>731.46</v>
      </c>
      <c r="AA18" s="15">
        <f>'[6]тариф начисл. 2020 с янв'!$AD$24+'[6]тариф начисл. 2020 с янв'!$AE$24</f>
        <v>68757.240000000005</v>
      </c>
      <c r="AB18" s="15">
        <f>'[6]тариф начисл. 2020 с янв'!$AA$24</f>
        <v>2925.84</v>
      </c>
      <c r="AC18" s="15">
        <f>'[6]тариф начисл. 2020 с янв'!$AB$24+[6]год!$F$24</f>
        <v>2194.38</v>
      </c>
      <c r="AD18" s="15">
        <f>'[6]тариф начисл. 2020 с янв'!$Y$24</f>
        <v>64368.480000000003</v>
      </c>
      <c r="AE18" s="15">
        <f>'[6]тариф начисл. 2020 с янв'!$V$24</f>
        <v>335740.14</v>
      </c>
      <c r="AF18" s="15"/>
      <c r="AG18" s="15">
        <f>'[6]тариф начисл. 2020 с янв'!$BA$24</f>
        <v>105330.24000000001</v>
      </c>
      <c r="AH18" s="16">
        <f t="shared" si="1"/>
        <v>1041599.04</v>
      </c>
      <c r="AI18" s="17">
        <f>'[6]тариф начисл. 2020 с янв'!$AJ$24</f>
        <v>154338.06</v>
      </c>
      <c r="AJ18" s="17">
        <f>'[6]тариф начисл. 2020 с янв'!$AO$24</f>
        <v>119227.98</v>
      </c>
      <c r="AK18" s="17">
        <f>'[6]тариф начисл. 2020 с янв'!$AS$24</f>
        <v>193105.44</v>
      </c>
      <c r="AL18" s="17">
        <f>'[6]тариф начисл. 2020 с янв'!$AW$24</f>
        <v>379627.74</v>
      </c>
      <c r="AM18" s="17">
        <f>'[6]тариф начисл. 2020 с янв'!$AZ$24</f>
        <v>106793.16</v>
      </c>
      <c r="AN18" s="16">
        <f t="shared" si="4"/>
        <v>953092.38</v>
      </c>
      <c r="AO18" s="16">
        <f t="shared" si="2"/>
        <v>1994691.42</v>
      </c>
      <c r="AP18" s="255">
        <f t="shared" si="5"/>
        <v>77871.579999999842</v>
      </c>
      <c r="AQ18" s="22">
        <f t="shared" si="6"/>
        <v>1916819.84</v>
      </c>
    </row>
    <row r="19" spans="1:43">
      <c r="A19" s="4">
        <v>14</v>
      </c>
      <c r="B19" s="30">
        <v>14</v>
      </c>
      <c r="C19" s="145">
        <v>16</v>
      </c>
      <c r="D19" s="84" t="s">
        <v>8</v>
      </c>
      <c r="E19" s="73">
        <v>14</v>
      </c>
      <c r="F19" s="73" t="s">
        <v>65</v>
      </c>
      <c r="G19" s="74">
        <v>1969</v>
      </c>
      <c r="H19" s="68">
        <f>'[2]тариф начисл. 2018 с янв'!$I$25</f>
        <v>4341.5</v>
      </c>
      <c r="I19" s="69" t="s">
        <v>40</v>
      </c>
      <c r="J19" s="75">
        <v>20.88</v>
      </c>
      <c r="K19" s="142">
        <v>106425.46999999997</v>
      </c>
      <c r="L19" s="70">
        <f>'[5]УК ЖЭУ-7 2020 год'!$L$38</f>
        <v>1087805.8799999999</v>
      </c>
      <c r="M19" s="70">
        <f>'[5]УК ЖЭУ-7 2020 год'!$M$38</f>
        <v>1044951.16</v>
      </c>
      <c r="N19" s="70">
        <v>0</v>
      </c>
      <c r="O19" s="86">
        <f t="shared" si="0"/>
        <v>149280.18999999983</v>
      </c>
      <c r="P19" s="86"/>
      <c r="Q19" s="16">
        <v>1713.8600000000006</v>
      </c>
      <c r="R19" s="16">
        <v>6855.43</v>
      </c>
      <c r="S19" s="16">
        <v>712.86</v>
      </c>
      <c r="T19" s="16">
        <f t="shared" si="3"/>
        <v>7856.4300000000012</v>
      </c>
      <c r="U19" s="15">
        <f>'[3]тариф начисл. 2019 с янв'!$P$25</f>
        <v>3646.86</v>
      </c>
      <c r="V19" s="15">
        <f>'[3]тариф начисл. 2019 с янв'!$O$25+[3]авг!$F$25</f>
        <v>60168.659999999996</v>
      </c>
      <c r="W19" s="15">
        <f>'[3]тариф начисл. 2019 с янв'!$N$25</f>
        <v>318318.78000000003</v>
      </c>
      <c r="X19" s="15"/>
      <c r="Y19" s="15"/>
      <c r="Z19" s="15">
        <f>'[3]тариф начисл. 2019 с янв'!$AC$25</f>
        <v>520.98</v>
      </c>
      <c r="AA19" s="15">
        <f>'[3]тариф начисл. 2019 с янв'!$AD$25+'[3]тариф начисл. 2019 с янв'!$AE$25</f>
        <v>48972.12</v>
      </c>
      <c r="AB19" s="15">
        <f>'[3]тариф начисл. 2019 с янв'!$AA$25</f>
        <v>2083.92</v>
      </c>
      <c r="AC19" s="15">
        <f>'[6]тариф начисл. 2020 с янв'!$AB$25+[6]год!$F$25</f>
        <v>3559.26</v>
      </c>
      <c r="AD19" s="15">
        <f>'[3]тариф начисл. 2019 с янв'!$Y$25</f>
        <v>45846.239999999998</v>
      </c>
      <c r="AE19" s="15">
        <f>'[3]тариф начисл. 2019 с янв'!$V$25</f>
        <v>168797.52</v>
      </c>
      <c r="AF19" s="15"/>
      <c r="AG19" s="15">
        <f>'[3]тариф начисл. 2019 с янв'!$BA$25</f>
        <v>75021.119999999995</v>
      </c>
      <c r="AH19" s="16">
        <f t="shared" si="1"/>
        <v>726935.46</v>
      </c>
      <c r="AI19" s="17">
        <f>'[3]тариф начисл. 2019 с янв'!$AJ$25+[6]год!$R$25</f>
        <v>165324.78</v>
      </c>
      <c r="AJ19" s="17">
        <f>'[3]тариф начисл. 2019 с янв'!$AO$25</f>
        <v>84919.74</v>
      </c>
      <c r="AK19" s="17">
        <f>'[3]тариф начисл. 2019 с янв'!$AS$25</f>
        <v>49493.1</v>
      </c>
      <c r="AL19" s="17">
        <f>'[3]тариф начисл. 2019 с янв'!$AW$25</f>
        <v>43762.32</v>
      </c>
      <c r="AM19" s="17">
        <f>'[3]тариф начисл. 2019 с янв'!$AZ$25</f>
        <v>76063.08</v>
      </c>
      <c r="AN19" s="16">
        <f t="shared" si="4"/>
        <v>419563.02</v>
      </c>
      <c r="AO19" s="16">
        <f t="shared" si="2"/>
        <v>1146498.48</v>
      </c>
      <c r="AP19" s="247">
        <f t="shared" si="5"/>
        <v>100834.45999999995</v>
      </c>
      <c r="AQ19" s="22">
        <f t="shared" si="6"/>
        <v>1045664.02</v>
      </c>
    </row>
    <row r="20" spans="1:43">
      <c r="A20" s="4">
        <v>15</v>
      </c>
      <c r="B20" s="30">
        <v>15</v>
      </c>
      <c r="C20" s="144">
        <v>17</v>
      </c>
      <c r="D20" s="84" t="s">
        <v>8</v>
      </c>
      <c r="E20" s="73">
        <v>16</v>
      </c>
      <c r="F20" s="73" t="s">
        <v>65</v>
      </c>
      <c r="G20" s="74">
        <v>1969</v>
      </c>
      <c r="H20" s="68">
        <f>'[2]тариф начисл. 2018 с янв'!$I$26</f>
        <v>2698.6</v>
      </c>
      <c r="I20" s="69" t="s">
        <v>40</v>
      </c>
      <c r="J20" s="75">
        <v>20.88</v>
      </c>
      <c r="K20" s="142">
        <v>263607.43000000005</v>
      </c>
      <c r="L20" s="70">
        <f>'[5]УК ЖЭУ-7 2020 год'!$L$40</f>
        <v>660814.43999999994</v>
      </c>
      <c r="M20" s="70">
        <f>'[5]УК ЖЭУ-7 2020 год'!$M$40</f>
        <v>622223.15</v>
      </c>
      <c r="N20" s="70">
        <v>0</v>
      </c>
      <c r="O20" s="86">
        <f t="shared" si="0"/>
        <v>302198.71999999997</v>
      </c>
      <c r="P20" s="86"/>
      <c r="Q20" s="16">
        <v>-193.52999999999884</v>
      </c>
      <c r="R20" s="16">
        <f>473.03+15727.2+21204.75</f>
        <v>37404.980000000003</v>
      </c>
      <c r="S20" s="16">
        <f>473.03+15727.2+13636.91</f>
        <v>29837.14</v>
      </c>
      <c r="T20" s="16">
        <f t="shared" si="3"/>
        <v>7374.3100000000049</v>
      </c>
      <c r="U20" s="15">
        <f>'[3]тариф начисл. 2019 с янв'!$P$26</f>
        <v>2266.8200000000002</v>
      </c>
      <c r="V20" s="15">
        <f>'[3]тариф начисл. 2019 с янв'!$O$26+[3]авг!$F$26</f>
        <v>51618.64</v>
      </c>
      <c r="W20" s="15">
        <f>'[3]тариф начисл. 2019 с янв'!$N$26</f>
        <v>197861.35</v>
      </c>
      <c r="X20" s="15"/>
      <c r="Y20" s="15"/>
      <c r="Z20" s="15">
        <f>'[3]тариф начисл. 2019 с янв'!$AC$26</f>
        <v>323.83</v>
      </c>
      <c r="AA20" s="15">
        <f>'[3]тариф начисл. 2019 с янв'!$AD$26+'[3]тариф начисл. 2019 с янв'!$AE$26</f>
        <v>30440.2</v>
      </c>
      <c r="AB20" s="15">
        <f>'[3]тариф начисл. 2019 с янв'!$AA$26</f>
        <v>1295.33</v>
      </c>
      <c r="AC20" s="15">
        <f>'[3]тариф начисл. 2019 с янв'!$AB$26+[6]год!$F$26</f>
        <v>2962.41</v>
      </c>
      <c r="AD20" s="15">
        <f>'[3]тариф начисл. 2019 с янв'!$Y$26</f>
        <v>28497.22</v>
      </c>
      <c r="AE20" s="15">
        <f>'[3]тариф начисл. 2019 с янв'!$V$26</f>
        <v>104921.57</v>
      </c>
      <c r="AF20" s="15"/>
      <c r="AG20" s="15">
        <f>'[3]тариф начисл. 2019 с янв'!$BA$26</f>
        <v>46631.81</v>
      </c>
      <c r="AH20" s="16">
        <f t="shared" si="1"/>
        <v>466819.17999999993</v>
      </c>
      <c r="AI20" s="17">
        <f>'[6]тариф начисл. 2020 с янв'!$AJ$26+[6]год!$R$26</f>
        <v>102361.75</v>
      </c>
      <c r="AJ20" s="17">
        <f>'[3]тариф начисл. 2019 с янв'!$AO$26</f>
        <v>52784.62</v>
      </c>
      <c r="AK20" s="17">
        <f>'[3]тариф начисл. 2019 с янв'!$AS$26</f>
        <v>30764.04</v>
      </c>
      <c r="AL20" s="17">
        <f>'[3]тариф начисл. 2019 с янв'!$AW$26</f>
        <v>27201.89</v>
      </c>
      <c r="AM20" s="17">
        <f>'[3]тариф начисл. 2019 с янв'!$AZ$26</f>
        <v>47279.47</v>
      </c>
      <c r="AN20" s="16">
        <f t="shared" si="4"/>
        <v>260391.77</v>
      </c>
      <c r="AO20" s="16">
        <f t="shared" si="2"/>
        <v>727210.95</v>
      </c>
      <c r="AP20" s="247">
        <f t="shared" si="5"/>
        <v>75150.659999999931</v>
      </c>
      <c r="AQ20" s="22">
        <f t="shared" si="6"/>
        <v>652060.29</v>
      </c>
    </row>
    <row r="21" spans="1:43">
      <c r="A21" s="4">
        <v>16</v>
      </c>
      <c r="B21" s="31">
        <v>16</v>
      </c>
      <c r="C21" s="145">
        <v>18</v>
      </c>
      <c r="D21" s="84" t="s">
        <v>8</v>
      </c>
      <c r="E21" s="73">
        <v>18</v>
      </c>
      <c r="F21" s="73" t="s">
        <v>65</v>
      </c>
      <c r="G21" s="74">
        <v>1969</v>
      </c>
      <c r="H21" s="68">
        <f>'[2]тариф начисл. 2018 с янв'!$I$27</f>
        <v>4404.7</v>
      </c>
      <c r="I21" s="69" t="s">
        <v>40</v>
      </c>
      <c r="J21" s="75">
        <v>20.88</v>
      </c>
      <c r="K21" s="142">
        <v>549641.65000000026</v>
      </c>
      <c r="L21" s="70">
        <f>'[5]УК ЖЭУ-7 2020 год'!$L$41</f>
        <v>1102740.1200000001</v>
      </c>
      <c r="M21" s="70">
        <f>'[5]УК ЖЭУ-7 2020 год'!$M$41</f>
        <v>1064297.8899999999</v>
      </c>
      <c r="N21" s="70">
        <v>0</v>
      </c>
      <c r="O21" s="86">
        <f t="shared" si="0"/>
        <v>588083.88000000059</v>
      </c>
      <c r="P21" s="86"/>
      <c r="Q21" s="16">
        <v>3034.8300000000017</v>
      </c>
      <c r="R21" s="16">
        <f>788.44+4956.45+6855.43</f>
        <v>12600.32</v>
      </c>
      <c r="S21" s="16">
        <f>788.44+4233.87+712.86</f>
        <v>5735.1699999999992</v>
      </c>
      <c r="T21" s="16">
        <f t="shared" si="3"/>
        <v>9899.9800000000032</v>
      </c>
      <c r="U21" s="15">
        <f>'[3]тариф начисл. 2019 с янв'!$P$27</f>
        <v>3699.95</v>
      </c>
      <c r="V21" s="15">
        <f>'[3]тариф начисл. 2019 с янв'!$O$27+[3]авг!$F$27</f>
        <v>39708.19</v>
      </c>
      <c r="W21" s="15">
        <f>'[3]тариф начисл. 2019 с янв'!$N$27</f>
        <v>322952.59999999998</v>
      </c>
      <c r="X21" s="15"/>
      <c r="Y21" s="15"/>
      <c r="Z21" s="15">
        <f>'[3]тариф начисл. 2019 с янв'!$AC$27</f>
        <v>528.55999999999995</v>
      </c>
      <c r="AA21" s="15">
        <f>'[3]тариф начисл. 2019 с янв'!$AD$27+'[3]тариф начисл. 2019 с янв'!$AE$27</f>
        <v>49685.02</v>
      </c>
      <c r="AB21" s="15">
        <f>'[3]тариф начисл. 2019 с янв'!$AA$27</f>
        <v>2114.2600000000002</v>
      </c>
      <c r="AC21" s="15">
        <f>'[3]тариф начисл. 2019 с янв'!$AB$27+[6]год!$F$27</f>
        <v>2386.11</v>
      </c>
      <c r="AD21" s="15">
        <f>'[3]тариф начисл. 2019 с янв'!$Y$27</f>
        <v>46513.63</v>
      </c>
      <c r="AE21" s="15">
        <f>'[3]тариф начисл. 2019 с янв'!$V$27</f>
        <v>171254.74</v>
      </c>
      <c r="AF21" s="15"/>
      <c r="AG21" s="15">
        <f>'[3]тариф начисл. 2019 с янв'!$BA$27</f>
        <v>76113.22</v>
      </c>
      <c r="AH21" s="16">
        <f t="shared" si="1"/>
        <v>714956.28</v>
      </c>
      <c r="AI21" s="17">
        <f>'[6]тариф начисл. 2020 с янв'!$AJ$27</f>
        <v>164383.4</v>
      </c>
      <c r="AJ21" s="17">
        <f>'[3]тариф начисл. 2019 с янв'!$AO$27</f>
        <v>86155.93</v>
      </c>
      <c r="AK21" s="17">
        <f>'[3]тариф начисл. 2019 с янв'!$AS$27</f>
        <v>50213.58</v>
      </c>
      <c r="AL21" s="17">
        <f>'[3]тариф начисл. 2019 с янв'!$AW$27</f>
        <v>44399.38</v>
      </c>
      <c r="AM21" s="17">
        <f>'[3]тариф начисл. 2019 с янв'!$AZ$27</f>
        <v>77170.34</v>
      </c>
      <c r="AN21" s="16">
        <f t="shared" si="4"/>
        <v>422322.63</v>
      </c>
      <c r="AO21" s="16">
        <f t="shared" si="2"/>
        <v>1137278.9100000001</v>
      </c>
      <c r="AP21" s="247">
        <f t="shared" si="5"/>
        <v>67245.850000000253</v>
      </c>
      <c r="AQ21" s="22">
        <f t="shared" si="6"/>
        <v>1070033.0599999998</v>
      </c>
    </row>
    <row r="22" spans="1:43">
      <c r="A22" s="4"/>
      <c r="B22" s="31"/>
      <c r="C22" s="145">
        <v>19</v>
      </c>
      <c r="D22" s="84" t="s">
        <v>8</v>
      </c>
      <c r="E22" s="83" t="s">
        <v>102</v>
      </c>
      <c r="F22" s="83" t="s">
        <v>32</v>
      </c>
      <c r="G22" s="110" t="s">
        <v>103</v>
      </c>
      <c r="H22" s="68">
        <f>'[2]тариф начисл. 2018 с янв'!$I$28</f>
        <v>3218.2</v>
      </c>
      <c r="I22" s="69" t="s">
        <v>40</v>
      </c>
      <c r="J22" s="75">
        <v>21.73</v>
      </c>
      <c r="K22" s="142">
        <v>97763.050000000163</v>
      </c>
      <c r="L22" s="70">
        <f>'[5]УК ЖЭУ-7 2020 год'!$L$42</f>
        <v>837561.36</v>
      </c>
      <c r="M22" s="70">
        <f>'[5]УК ЖЭУ-7 2020 год'!$M$42</f>
        <v>827484.47</v>
      </c>
      <c r="N22" s="70">
        <v>0</v>
      </c>
      <c r="O22" s="86">
        <f t="shared" si="0"/>
        <v>107839.94000000018</v>
      </c>
      <c r="P22" s="86"/>
      <c r="Q22" s="16">
        <v>0</v>
      </c>
      <c r="R22" s="16">
        <v>577.17999999999995</v>
      </c>
      <c r="S22" s="16">
        <v>577.17999999999995</v>
      </c>
      <c r="T22" s="16">
        <f t="shared" si="3"/>
        <v>0</v>
      </c>
      <c r="U22" s="15">
        <f>'[3]тариф начисл. 2019 с янв'!$P$28</f>
        <v>2703.29</v>
      </c>
      <c r="V22" s="15">
        <f>'[3]тариф начисл. 2019 с янв'!$O$28+[3]авг!$F$28</f>
        <v>18100.689999999999</v>
      </c>
      <c r="W22" s="15">
        <f>'[3]тариф начисл. 2019 с янв'!$N$28</f>
        <v>235958.42</v>
      </c>
      <c r="X22" s="15"/>
      <c r="Y22" s="15"/>
      <c r="Z22" s="15">
        <f>'[3]тариф начисл. 2019 с янв'!$AC$28</f>
        <v>386.18</v>
      </c>
      <c r="AA22" s="15">
        <f>'[3]тариф начисл. 2019 с янв'!$AD$28+'[3]тариф начисл. 2019 с янв'!$AE$28</f>
        <v>36301.300000000003</v>
      </c>
      <c r="AB22" s="15">
        <f>'[3]тариф начисл. 2019 с янв'!$AA$28</f>
        <v>1544.74</v>
      </c>
      <c r="AC22" s="15">
        <f>'[3]тариф начисл. 2019 с янв'!$AB$28+[6]год!$F$28</f>
        <v>2267.81</v>
      </c>
      <c r="AD22" s="15">
        <f>'[3]тариф начисл. 2019 с янв'!$Y$28</f>
        <v>33984.19</v>
      </c>
      <c r="AE22" s="15">
        <f>'[3]тариф начисл. 2019 с янв'!$V$28</f>
        <v>125123.62</v>
      </c>
      <c r="AF22" s="15"/>
      <c r="AG22" s="15">
        <f>'[3]тариф начисл. 2019 с янв'!$BA$28</f>
        <v>55610.5</v>
      </c>
      <c r="AH22" s="16">
        <f t="shared" si="1"/>
        <v>511980.74</v>
      </c>
      <c r="AI22" s="17">
        <f>'[6]тариф начисл. 2020 с янв'!$AJ$28+[6]год!$R$28</f>
        <v>130903.22</v>
      </c>
      <c r="AJ22" s="17">
        <f>'[3]тариф начисл. 2019 с янв'!$AO$28</f>
        <v>62947.99</v>
      </c>
      <c r="AK22" s="17">
        <f>'[3]тариф начисл. 2019 с янв'!$AS$28</f>
        <v>69126.94</v>
      </c>
      <c r="AL22" s="17">
        <f>'[3]тариф начисл. 2019 с янв'!$AW$28</f>
        <v>32825.64</v>
      </c>
      <c r="AM22" s="17">
        <f>'[3]тариф начисл. 2019 с янв'!$AZ$28</f>
        <v>56382.86</v>
      </c>
      <c r="AN22" s="16">
        <f t="shared" si="4"/>
        <v>352186.65</v>
      </c>
      <c r="AO22" s="16">
        <f t="shared" si="2"/>
        <v>864167.39</v>
      </c>
      <c r="AP22" s="249">
        <f t="shared" si="5"/>
        <v>36105.740000000042</v>
      </c>
      <c r="AQ22" s="22">
        <f t="shared" si="6"/>
        <v>828061.65</v>
      </c>
    </row>
    <row r="23" spans="1:43">
      <c r="A23" s="4">
        <v>17</v>
      </c>
      <c r="B23" s="30">
        <v>17</v>
      </c>
      <c r="C23" s="144">
        <v>20</v>
      </c>
      <c r="D23" s="84" t="s">
        <v>8</v>
      </c>
      <c r="E23" s="73">
        <v>20</v>
      </c>
      <c r="F23" s="73" t="s">
        <v>65</v>
      </c>
      <c r="G23" s="74">
        <v>1968</v>
      </c>
      <c r="H23" s="68">
        <f>'[3]тариф начисл. 2019 с янв'!$I$29</f>
        <v>4406.8</v>
      </c>
      <c r="I23" s="69" t="s">
        <v>40</v>
      </c>
      <c r="J23" s="75">
        <v>20.88</v>
      </c>
      <c r="K23" s="142">
        <v>179594.24000000005</v>
      </c>
      <c r="L23" s="70">
        <f>'[5]УК ЖЭУ-7 2020 год'!$L$43</f>
        <v>1093130.99</v>
      </c>
      <c r="M23" s="70">
        <f>'[5]УК ЖЭУ-7 2020 год'!$M$43</f>
        <v>1119638.74</v>
      </c>
      <c r="N23" s="70">
        <v>0</v>
      </c>
      <c r="O23" s="86">
        <f t="shared" si="0"/>
        <v>153086.49</v>
      </c>
      <c r="P23" s="86"/>
      <c r="Q23" s="16">
        <v>1713.8600000000006</v>
      </c>
      <c r="R23" s="16">
        <f>6855.43+15135.2</f>
        <v>21990.63</v>
      </c>
      <c r="S23" s="16">
        <f>712.86+15135.2</f>
        <v>15848.060000000001</v>
      </c>
      <c r="T23" s="16">
        <f t="shared" si="3"/>
        <v>7856.43</v>
      </c>
      <c r="U23" s="15">
        <f>'[3]тариф начисл. 2019 с янв'!$P$29</f>
        <v>3701.71</v>
      </c>
      <c r="V23" s="15">
        <f>'[3]тариф начисл. 2019 с янв'!$O$29+[3]авг!$F$29</f>
        <v>48332.12</v>
      </c>
      <c r="W23" s="15">
        <f>'[3]тариф начисл. 2019 с янв'!$N$29</f>
        <v>323106.58</v>
      </c>
      <c r="X23" s="15"/>
      <c r="Y23" s="15"/>
      <c r="Z23" s="15">
        <f>'[3]тариф начисл. 2019 с янв'!$AC$29</f>
        <v>528.82000000000005</v>
      </c>
      <c r="AA23" s="15">
        <f>'[3]тариф начисл. 2019 с янв'!$AD$29+'[3]тариф начисл. 2019 с янв'!$AE$29</f>
        <v>49708.7</v>
      </c>
      <c r="AB23" s="15">
        <f>'[3]тариф начисл. 2019 с янв'!$AA$29</f>
        <v>2115.2600000000002</v>
      </c>
      <c r="AC23" s="15">
        <f>'[3]тариф начисл. 2019 с янв'!$AB$29+[6]год!$F$29</f>
        <v>2386.87</v>
      </c>
      <c r="AD23" s="15">
        <f>'[3]тариф начисл. 2019 с янв'!$Z$29</f>
        <v>46535.81</v>
      </c>
      <c r="AE23" s="15">
        <f>'[3]тариф начисл. 2019 с янв'!$V$29</f>
        <v>171336.38</v>
      </c>
      <c r="AF23" s="15"/>
      <c r="AG23" s="15">
        <f>'[3]тариф начисл. 2019 с янв'!$BA$29</f>
        <v>76149.5</v>
      </c>
      <c r="AH23" s="16">
        <f t="shared" si="1"/>
        <v>723901.75</v>
      </c>
      <c r="AI23" s="17">
        <f>'[6]тариф начисл. 2020 с янв'!$AJ$29</f>
        <v>164461.78</v>
      </c>
      <c r="AJ23" s="17">
        <f>'[3]тариф начисл. 2019 с янв'!$AO$29+[6]год!$X$29</f>
        <v>118837.01</v>
      </c>
      <c r="AK23" s="17">
        <f>'[3]тариф начисл. 2019 с янв'!$AS$29</f>
        <v>50237.52</v>
      </c>
      <c r="AL23" s="17">
        <f>'[3]тариф начисл. 2019 с янв'!$AW$29</f>
        <v>44420.54</v>
      </c>
      <c r="AM23" s="17">
        <f>'[3]тариф начисл. 2019 с янв'!$AZ$29</f>
        <v>77207.14</v>
      </c>
      <c r="AN23" s="16">
        <f t="shared" si="4"/>
        <v>455163.99</v>
      </c>
      <c r="AO23" s="16">
        <f t="shared" si="2"/>
        <v>1179065.74</v>
      </c>
      <c r="AP23" s="256">
        <f t="shared" si="5"/>
        <v>43578.94</v>
      </c>
      <c r="AQ23" s="22">
        <f t="shared" si="6"/>
        <v>1135486.8</v>
      </c>
    </row>
    <row r="24" spans="1:43">
      <c r="A24" s="4">
        <v>18</v>
      </c>
      <c r="B24" s="30">
        <v>18</v>
      </c>
      <c r="C24" s="145">
        <v>21</v>
      </c>
      <c r="D24" s="84" t="s">
        <v>8</v>
      </c>
      <c r="E24" s="73">
        <v>22</v>
      </c>
      <c r="F24" s="73" t="s">
        <v>65</v>
      </c>
      <c r="G24" s="74">
        <v>1968</v>
      </c>
      <c r="H24" s="68">
        <f>'[3]тариф начисл. 2019 с янв'!$I$30</f>
        <v>2722</v>
      </c>
      <c r="I24" s="69" t="s">
        <v>40</v>
      </c>
      <c r="J24" s="75">
        <v>20.88</v>
      </c>
      <c r="K24" s="142">
        <v>181124.0299999998</v>
      </c>
      <c r="L24" s="70">
        <f>'[5]УК ЖЭУ-7 2020 год'!$L$45</f>
        <v>682015.84</v>
      </c>
      <c r="M24" s="70">
        <f>'[5]УК ЖЭУ-7 2020 год'!$M$45</f>
        <v>680166.12</v>
      </c>
      <c r="N24" s="70">
        <v>0</v>
      </c>
      <c r="O24" s="86">
        <f t="shared" si="0"/>
        <v>182973.74999999977</v>
      </c>
      <c r="P24" s="86"/>
      <c r="Q24" s="16">
        <v>1199.5799999999995</v>
      </c>
      <c r="R24" s="16">
        <v>4798.32</v>
      </c>
      <c r="S24" s="16">
        <v>998.6</v>
      </c>
      <c r="T24" s="16">
        <f t="shared" si="3"/>
        <v>4999.2999999999993</v>
      </c>
      <c r="U24" s="15">
        <f>'[3]тариф начисл. 2019 с янв'!$P$30</f>
        <v>2286.48</v>
      </c>
      <c r="V24" s="15">
        <f>'[3]тариф начисл. 2019 с янв'!$O$30+[3]авг!$F$30</f>
        <v>65711.459999999992</v>
      </c>
      <c r="W24" s="15">
        <f>'[3]тариф начисл. 2019 с янв'!$N$30</f>
        <v>199577.04</v>
      </c>
      <c r="X24" s="15"/>
      <c r="Y24" s="15"/>
      <c r="Z24" s="15">
        <f>'[3]тариф начисл. 2019 с янв'!$AC$30</f>
        <v>326.64</v>
      </c>
      <c r="AA24" s="15">
        <f>'[3]тариф начисл. 2019 с янв'!$AD$30+'[3]тариф начисл. 2019 с янв'!$AE$30</f>
        <v>30704.16</v>
      </c>
      <c r="AB24" s="15">
        <f>'[3]тариф начисл. 2019 с янв'!$AA$30</f>
        <v>1306.56</v>
      </c>
      <c r="AC24" s="15">
        <f>'[6]тариф начисл. 2020 с янв'!$AB$30+[6]год!$F$30</f>
        <v>2351.1</v>
      </c>
      <c r="AD24" s="15">
        <f>'[3]тариф начисл. 2019 с янв'!$Y$30</f>
        <v>28744.32</v>
      </c>
      <c r="AE24" s="15">
        <f>'[3]тариф начисл. 2019 с янв'!$V$30</f>
        <v>105831.36</v>
      </c>
      <c r="AF24" s="15"/>
      <c r="AG24" s="15">
        <f>'[3]тариф начисл. 2019 с янв'!$BA$30</f>
        <v>47036.160000000003</v>
      </c>
      <c r="AH24" s="16">
        <f t="shared" si="1"/>
        <v>483875.27999999991</v>
      </c>
      <c r="AI24" s="17">
        <f>'[3]тариф начисл. 2019 с янв'!$AJ$30+[6]год!$R$30</f>
        <v>117685.04</v>
      </c>
      <c r="AJ24" s="17">
        <f>'[3]тариф начисл. 2019 с янв'!$AO$30</f>
        <v>53242.32</v>
      </c>
      <c r="AK24" s="17">
        <f>'[3]тариф начисл. 2019 с янв'!$AS$30</f>
        <v>31030.799999999999</v>
      </c>
      <c r="AL24" s="17">
        <f>'[3]тариф начисл. 2019 с янв'!$AW$30</f>
        <v>27437.759999999998</v>
      </c>
      <c r="AM24" s="17">
        <f>'[3]тариф начисл. 2019 с янв'!$AZ$30</f>
        <v>47689.440000000002</v>
      </c>
      <c r="AN24" s="16">
        <f t="shared" si="4"/>
        <v>277085.36</v>
      </c>
      <c r="AO24" s="16">
        <f t="shared" si="2"/>
        <v>760960.6399999999</v>
      </c>
      <c r="AP24" s="247">
        <f t="shared" si="5"/>
        <v>79795.919999999896</v>
      </c>
      <c r="AQ24" s="22">
        <f t="shared" si="6"/>
        <v>681164.72</v>
      </c>
    </row>
    <row r="25" spans="1:43">
      <c r="A25" s="4">
        <v>19</v>
      </c>
      <c r="B25" s="31">
        <v>19</v>
      </c>
      <c r="C25" s="145">
        <v>22</v>
      </c>
      <c r="D25" s="84" t="s">
        <v>8</v>
      </c>
      <c r="E25" s="73" t="s">
        <v>20</v>
      </c>
      <c r="F25" s="73" t="s">
        <v>65</v>
      </c>
      <c r="G25" s="74">
        <v>1984</v>
      </c>
      <c r="H25" s="68">
        <f>'[3]тариф начисл. 2019 с янв'!$I$31</f>
        <v>3057.8</v>
      </c>
      <c r="I25" s="69" t="s">
        <v>40</v>
      </c>
      <c r="J25" s="75">
        <v>21.73</v>
      </c>
      <c r="K25" s="142">
        <v>79516.369999999879</v>
      </c>
      <c r="L25" s="70">
        <f>'[5]УК ЖЭУ-7 2020 год'!$L$39</f>
        <v>797353.08</v>
      </c>
      <c r="M25" s="70">
        <f>'[5]УК ЖЭУ-7 2020 год'!$M$39</f>
        <v>797717.22</v>
      </c>
      <c r="N25" s="70">
        <v>0</v>
      </c>
      <c r="O25" s="86">
        <f t="shared" si="0"/>
        <v>79152.229999999865</v>
      </c>
      <c r="P25" s="86"/>
      <c r="Q25" s="16">
        <v>1199.58</v>
      </c>
      <c r="R25" s="16">
        <f>548.34+4798.32</f>
        <v>5346.66</v>
      </c>
      <c r="S25" s="16">
        <f>548.34+3998.6</f>
        <v>4546.9399999999996</v>
      </c>
      <c r="T25" s="16">
        <f t="shared" si="3"/>
        <v>1999.3000000000002</v>
      </c>
      <c r="U25" s="15">
        <f>'[3]тариф начисл. 2019 с янв'!$P$31</f>
        <v>2568.5500000000002</v>
      </c>
      <c r="V25" s="15">
        <f>'[3]тариф начисл. 2019 с янв'!$O$31+[3]авг!$F$31</f>
        <v>31168.699999999997</v>
      </c>
      <c r="W25" s="15">
        <f>'[3]тариф начисл. 2019 с янв'!$N$31</f>
        <v>224197.9</v>
      </c>
      <c r="X25" s="15"/>
      <c r="Y25" s="15"/>
      <c r="Z25" s="15">
        <f>'[3]тариф начисл. 2019 с янв'!$AC$31</f>
        <v>366.94</v>
      </c>
      <c r="AA25" s="15">
        <f>'[3]тариф начисл. 2019 с янв'!$AD$31+'[3]тариф начисл. 2019 с янв'!$AE$31</f>
        <v>34491.980000000003</v>
      </c>
      <c r="AB25" s="15">
        <f>'[3]тариф начисл. 2019 с янв'!$AA$31</f>
        <v>1467.74</v>
      </c>
      <c r="AC25" s="15">
        <f>'[6]тариф начисл. 2020 с янв'!$AB$31+[6]год!$F$31</f>
        <v>1594.29</v>
      </c>
      <c r="AD25" s="15">
        <f>'[3]тариф начисл. 2019 с янв'!$Z$31</f>
        <v>32290.37</v>
      </c>
      <c r="AE25" s="15">
        <f>'[3]тариф начисл. 2019 с янв'!$V$31</f>
        <v>118887.26</v>
      </c>
      <c r="AF25" s="15"/>
      <c r="AG25" s="15">
        <f>'[3]тариф начисл. 2019 с янв'!$BA$31</f>
        <v>52838.78</v>
      </c>
      <c r="AH25" s="16">
        <f t="shared" si="1"/>
        <v>499872.51</v>
      </c>
      <c r="AI25" s="17">
        <f>'[3]тариф начисл. 2019 с янв'!$AJ$31+[6]год!$R$31</f>
        <v>119617.1</v>
      </c>
      <c r="AJ25" s="17">
        <f>'[3]тариф начисл. 2019 с янв'!$AO$31</f>
        <v>59810.57</v>
      </c>
      <c r="AK25" s="17">
        <f>'[3]тариф начисл. 2019 с янв'!$AS$31</f>
        <v>65681.539999999994</v>
      </c>
      <c r="AL25" s="17">
        <f>'[3]тариф начисл. 2019 с янв'!$AW$31</f>
        <v>31189.56</v>
      </c>
      <c r="AM25" s="17">
        <f>'[3]тариф начисл. 2019 с янв'!$AZ$31</f>
        <v>53572.66</v>
      </c>
      <c r="AN25" s="16">
        <f t="shared" si="4"/>
        <v>329871.43000000005</v>
      </c>
      <c r="AO25" s="16">
        <f t="shared" si="2"/>
        <v>829743.94000000006</v>
      </c>
      <c r="AP25" s="247">
        <f t="shared" si="5"/>
        <v>27479.78000000009</v>
      </c>
      <c r="AQ25" s="22">
        <f t="shared" si="6"/>
        <v>802264.15999999992</v>
      </c>
    </row>
    <row r="26" spans="1:43">
      <c r="A26" s="4"/>
      <c r="B26" s="31"/>
      <c r="C26" s="145">
        <v>23</v>
      </c>
      <c r="D26" s="84" t="s">
        <v>8</v>
      </c>
      <c r="E26" s="83" t="s">
        <v>25</v>
      </c>
      <c r="F26" s="83" t="s">
        <v>82</v>
      </c>
      <c r="G26" s="74">
        <v>2012</v>
      </c>
      <c r="H26" s="68">
        <f>'[3]тариф начисл. 2019 с янв'!$I$32</f>
        <v>5970.1</v>
      </c>
      <c r="I26" s="85" t="s">
        <v>40</v>
      </c>
      <c r="J26" s="75">
        <v>25.92</v>
      </c>
      <c r="K26" s="142">
        <v>324388.89999999967</v>
      </c>
      <c r="L26" s="70">
        <f>'[5]УК ЖЭУ-7 2020 год'!$L$44</f>
        <v>1794238.92</v>
      </c>
      <c r="M26" s="70">
        <f>'[5]УК ЖЭУ-7 2020 год'!$M$44</f>
        <v>1787697.16</v>
      </c>
      <c r="N26" s="70">
        <v>0</v>
      </c>
      <c r="O26" s="86">
        <f t="shared" si="0"/>
        <v>330930.65999999945</v>
      </c>
      <c r="P26" s="86"/>
      <c r="Q26" s="16">
        <v>0</v>
      </c>
      <c r="R26" s="16">
        <v>0</v>
      </c>
      <c r="S26" s="16">
        <v>0</v>
      </c>
      <c r="T26" s="16">
        <f t="shared" si="3"/>
        <v>0</v>
      </c>
      <c r="U26" s="15">
        <f>'[3]тариф начисл. 2019 с янв'!$P$32</f>
        <v>5014.88</v>
      </c>
      <c r="V26" s="15">
        <f>'[3]тариф начисл. 2019 с янв'!$O$32+[3]авг!$F$32</f>
        <v>28994.32</v>
      </c>
      <c r="W26" s="15">
        <f>'[3]тариф начисл. 2019 с янв'!$N$32</f>
        <v>298743.8</v>
      </c>
      <c r="X26" s="15"/>
      <c r="Y26" s="15">
        <f>'[3]тариф начисл. 2019 с янв'!$BE$32+[6]год!$Z$32</f>
        <v>455009.7</v>
      </c>
      <c r="Z26" s="15">
        <f>'[3]тариф начисл. 2019 с янв'!$AC$32</f>
        <v>716.41</v>
      </c>
      <c r="AA26" s="15">
        <f>'[3]тариф начисл. 2019 с янв'!$AD$32+'[3]тариф начисл. 2019 с янв'!$AE$32</f>
        <v>67342.720000000001</v>
      </c>
      <c r="AB26" s="15">
        <f>'[3]тариф начисл. 2019 с янв'!$AA$32</f>
        <v>2865.65</v>
      </c>
      <c r="AC26" s="15">
        <f>'[6]тариф начисл. 2020 с янв'!$AB$32+[6]год!$F$32</f>
        <v>2899.2299999999996</v>
      </c>
      <c r="AD26" s="15">
        <f>'[3]тариф начисл. 2019 с янв'!$Z$32</f>
        <v>63044.26</v>
      </c>
      <c r="AE26" s="15">
        <f>'[3]тариф начисл. 2019 с янв'!$V$32</f>
        <v>232117.49</v>
      </c>
      <c r="AF26" s="15"/>
      <c r="AG26" s="15">
        <f>'[3]тариф начисл. 2019 с янв'!$BA$32</f>
        <v>103163.33</v>
      </c>
      <c r="AH26" s="16">
        <f t="shared" si="1"/>
        <v>1259911.79</v>
      </c>
      <c r="AI26" s="17">
        <f>'[3]тариф начисл. 2019 с янв'!$AJ$32</f>
        <v>151162.93</v>
      </c>
      <c r="AJ26" s="17">
        <f>'[3]тариф начисл. 2019 с янв'!$AO$32</f>
        <v>116775.16</v>
      </c>
      <c r="AK26" s="17">
        <f>'[3]тариф начисл. 2019 с янв'!$AS$32</f>
        <v>128237.75</v>
      </c>
      <c r="AL26" s="17">
        <f>'[3]тариф начисл. 2019 с янв'!$AW$32</f>
        <v>60895.02</v>
      </c>
      <c r="AM26" s="17">
        <f>'[3]тариф начисл. 2019 с янв'!$AZ$32</f>
        <v>104596.15</v>
      </c>
      <c r="AN26" s="16">
        <f t="shared" si="4"/>
        <v>561667.01</v>
      </c>
      <c r="AO26" s="16">
        <f t="shared" si="2"/>
        <v>1821578.8</v>
      </c>
      <c r="AP26" s="247">
        <f t="shared" si="5"/>
        <v>33881.64000000013</v>
      </c>
      <c r="AQ26" s="22">
        <f t="shared" si="6"/>
        <v>1787697.16</v>
      </c>
    </row>
    <row r="27" spans="1:43">
      <c r="A27" s="4"/>
      <c r="B27" s="31"/>
      <c r="C27" s="145">
        <v>24</v>
      </c>
      <c r="D27" s="84" t="s">
        <v>194</v>
      </c>
      <c r="E27" s="83">
        <v>12</v>
      </c>
      <c r="F27" s="83" t="s">
        <v>107</v>
      </c>
      <c r="G27" s="74">
        <v>1989</v>
      </c>
      <c r="H27" s="68">
        <f>'[3]тариф начисл. 2019 с янв'!$I$33</f>
        <v>3312.2</v>
      </c>
      <c r="I27" s="85" t="s">
        <v>40</v>
      </c>
      <c r="J27" s="75">
        <v>22.4</v>
      </c>
      <c r="K27" s="142">
        <v>102267.20000000001</v>
      </c>
      <c r="L27" s="70">
        <f>'[5]УК ЖЭУ-7 2020 год'!$L$25</f>
        <v>908328.95999999996</v>
      </c>
      <c r="M27" s="70">
        <f>'[5]УК ЖЭУ-7 2020 год'!$M$25</f>
        <v>861308.61</v>
      </c>
      <c r="N27" s="70">
        <v>0</v>
      </c>
      <c r="O27" s="86">
        <f t="shared" si="0"/>
        <v>149287.54999999993</v>
      </c>
      <c r="P27" s="86"/>
      <c r="Q27" s="16">
        <v>0</v>
      </c>
      <c r="R27" s="16">
        <v>0</v>
      </c>
      <c r="S27" s="16">
        <v>0</v>
      </c>
      <c r="T27" s="16">
        <f t="shared" si="3"/>
        <v>0</v>
      </c>
      <c r="U27" s="15">
        <f>'[6]тариф начисл. 2020 с янв'!$P$33</f>
        <v>2782.25</v>
      </c>
      <c r="V27" s="15">
        <f>'[6]тариф начисл. 2020 с янв'!$O$33</f>
        <v>5167.03</v>
      </c>
      <c r="W27" s="15">
        <f>'[6]тариф начисл. 2020 с янв'!$N$33</f>
        <v>242850.5</v>
      </c>
      <c r="X27" s="15"/>
      <c r="Y27" s="15"/>
      <c r="Z27" s="15">
        <f>'[6]тариф начисл. 2020 с янв'!$AC$33</f>
        <v>397.46</v>
      </c>
      <c r="AA27" s="15">
        <f>'[6]тариф начисл. 2020 с янв'!$AD$33+'[6]тариф начисл. 2020 с янв'!$AE$33</f>
        <v>37361.620000000003</v>
      </c>
      <c r="AB27" s="15">
        <f>'[6]тариф начисл. 2020 с янв'!$AA$33</f>
        <v>1589.86</v>
      </c>
      <c r="AC27" s="15">
        <f>'[6]тариф начисл. 2020 с янв'!$AB$33+[6]год!$F$33</f>
        <v>8484.19</v>
      </c>
      <c r="AD27" s="15">
        <f>'[6]тариф начисл. 2020 с янв'!$Z$33</f>
        <v>34976.83</v>
      </c>
      <c r="AE27" s="15">
        <f>'[6]тариф начисл. 2020 с янв'!$V$33</f>
        <v>128778.34</v>
      </c>
      <c r="AF27" s="15"/>
      <c r="AG27" s="15">
        <f>'[6]тариф начисл. 2020 с янв'!$BA$33</f>
        <v>57234.82</v>
      </c>
      <c r="AH27" s="16">
        <f t="shared" si="1"/>
        <v>519622.89999999997</v>
      </c>
      <c r="AI27" s="17">
        <f>'[6]тариф начисл. 2020 с янв'!$AJ$33</f>
        <v>123611.3</v>
      </c>
      <c r="AJ27" s="17">
        <f>'[6]тариф начисл. 2020 с янв'!$AO$33</f>
        <v>64786.63</v>
      </c>
      <c r="AK27" s="17">
        <f>'[6]тариф начисл. 2020 с янв'!$AS$33</f>
        <v>71146.06</v>
      </c>
      <c r="AL27" s="17">
        <f>'[6]тариф начисл. 2020 с янв'!$AW$33</f>
        <v>60414.53</v>
      </c>
      <c r="AM27" s="17">
        <f>'[6]тариф начисл. 2020 с янв'!$AZ$33</f>
        <v>58029.74</v>
      </c>
      <c r="AN27" s="16">
        <f t="shared" si="4"/>
        <v>377988.26</v>
      </c>
      <c r="AO27" s="16">
        <f t="shared" si="2"/>
        <v>897611.15999999992</v>
      </c>
      <c r="AP27" s="247">
        <f t="shared" si="5"/>
        <v>36302.54999999993</v>
      </c>
      <c r="AQ27" s="22">
        <f t="shared" si="6"/>
        <v>861308.61</v>
      </c>
    </row>
    <row r="28" spans="1:43">
      <c r="A28" s="4"/>
      <c r="B28" s="31"/>
      <c r="C28" s="145">
        <v>25</v>
      </c>
      <c r="D28" s="84" t="s">
        <v>194</v>
      </c>
      <c r="E28" s="83" t="s">
        <v>195</v>
      </c>
      <c r="F28" s="83" t="s">
        <v>107</v>
      </c>
      <c r="G28" s="74">
        <v>1991</v>
      </c>
      <c r="H28" s="68">
        <f>'[3]тариф начисл. 2019 с янв'!$I$34</f>
        <v>3530.6</v>
      </c>
      <c r="I28" s="85" t="s">
        <v>40</v>
      </c>
      <c r="J28" s="75">
        <v>22.4</v>
      </c>
      <c r="K28" s="142">
        <v>159268.54000000004</v>
      </c>
      <c r="L28" s="70">
        <f>'[5]УК ЖЭУ-7 2020 год'!$L$26</f>
        <v>949025.28000000003</v>
      </c>
      <c r="M28" s="70">
        <f>'[5]УК ЖЭУ-7 2020 год'!$M$26</f>
        <v>924275.58</v>
      </c>
      <c r="N28" s="70">
        <v>0</v>
      </c>
      <c r="O28" s="86">
        <f t="shared" si="0"/>
        <v>184018.24000000011</v>
      </c>
      <c r="P28" s="86"/>
      <c r="Q28" s="16">
        <v>0</v>
      </c>
      <c r="R28" s="16">
        <v>0</v>
      </c>
      <c r="S28" s="16">
        <v>0</v>
      </c>
      <c r="T28" s="16">
        <f t="shared" si="3"/>
        <v>0</v>
      </c>
      <c r="U28" s="15">
        <f>'[6]тариф начисл. 2020 с янв'!$P$34</f>
        <v>2965.7</v>
      </c>
      <c r="V28" s="15">
        <f>'[6]тариф начисл. 2020 с янв'!$O$34</f>
        <v>5507.74</v>
      </c>
      <c r="W28" s="15">
        <f>'[6]тариф начисл. 2020 с янв'!$N$34</f>
        <v>258863.59</v>
      </c>
      <c r="X28" s="15"/>
      <c r="Y28" s="15"/>
      <c r="Z28" s="15">
        <f>'[6]тариф начисл. 2020 с янв'!$AC$34</f>
        <v>423.67</v>
      </c>
      <c r="AA28" s="15">
        <f>'[6]тариф начисл. 2020 с янв'!$AD$34+'[6]тариф начисл. 2020 с янв'!$AE$34</f>
        <v>39825.160000000003</v>
      </c>
      <c r="AB28" s="15">
        <f>'[6]тариф начисл. 2020 с янв'!$AA$34</f>
        <v>1694.69</v>
      </c>
      <c r="AC28" s="15">
        <f>'[6]тариф начисл. 2020 с янв'!$AB$34+[6]год!$F$34</f>
        <v>3850.42</v>
      </c>
      <c r="AD28" s="15">
        <f>'[6]тариф начисл. 2020 с янв'!$Z$34</f>
        <v>37283.14</v>
      </c>
      <c r="AE28" s="15">
        <f>'[6]тариф начисл. 2020 с янв'!$V$34</f>
        <v>137269.73000000001</v>
      </c>
      <c r="AF28" s="15"/>
      <c r="AG28" s="15">
        <f>'[6]тариф начисл. 2020 с янв'!$BA$34</f>
        <v>61008.77</v>
      </c>
      <c r="AH28" s="16">
        <f t="shared" si="1"/>
        <v>548692.61</v>
      </c>
      <c r="AI28" s="17">
        <f>'[6]тариф начисл. 2020 с янв'!$AJ$34</f>
        <v>131761.99</v>
      </c>
      <c r="AJ28" s="17">
        <f>'[6]тариф начисл. 2020 с янв'!$AO$34</f>
        <v>69058.539999999994</v>
      </c>
      <c r="AK28" s="17">
        <f>'[6]тариф начисл. 2020 с янв'!$AS$34</f>
        <v>75837.289999999994</v>
      </c>
      <c r="AL28" s="17">
        <f>'[6]тариф начисл. 2020 с янв'!$AW$34</f>
        <v>64398.14</v>
      </c>
      <c r="AM28" s="17">
        <f>'[6]тариф начисл. 2020 с янв'!$AZ$34</f>
        <v>61856.11</v>
      </c>
      <c r="AN28" s="16">
        <f t="shared" si="4"/>
        <v>402912.06999999995</v>
      </c>
      <c r="AO28" s="16">
        <f t="shared" si="2"/>
        <v>951604.67999999993</v>
      </c>
      <c r="AP28" s="247">
        <f t="shared" si="5"/>
        <v>27329.099999999977</v>
      </c>
      <c r="AQ28" s="22">
        <f t="shared" si="6"/>
        <v>924275.58</v>
      </c>
    </row>
    <row r="29" spans="1:43">
      <c r="A29" s="4">
        <v>20</v>
      </c>
      <c r="B29" s="30">
        <v>20</v>
      </c>
      <c r="C29" s="145">
        <v>26</v>
      </c>
      <c r="D29" s="84" t="s">
        <v>9</v>
      </c>
      <c r="E29" s="73">
        <v>165</v>
      </c>
      <c r="F29" s="73" t="s">
        <v>65</v>
      </c>
      <c r="G29" s="74">
        <v>1976</v>
      </c>
      <c r="H29" s="68">
        <f>'[2]тариф начисл. 2018 с янв'!$I$34</f>
        <v>7134.8</v>
      </c>
      <c r="I29" s="69" t="s">
        <v>40</v>
      </c>
      <c r="J29" s="75">
        <v>20.88</v>
      </c>
      <c r="K29" s="142">
        <v>664310.99000000022</v>
      </c>
      <c r="L29" s="70">
        <f>'[5]УК ЖЭУ-7 2020 год'!$L$28</f>
        <v>1702454.88</v>
      </c>
      <c r="M29" s="70">
        <f>'[5]УК ЖЭУ-7 2020 год'!$M$28</f>
        <v>1661302.15</v>
      </c>
      <c r="N29" s="70">
        <v>0</v>
      </c>
      <c r="O29" s="86">
        <f t="shared" si="0"/>
        <v>705463.7200000002</v>
      </c>
      <c r="P29" s="86"/>
      <c r="Q29" s="16">
        <v>54309.280000000013</v>
      </c>
      <c r="R29" s="16">
        <f>10554.34+15818.85+15441.9+13153.14+11016.72+25471.32+7824.96+13402.88</f>
        <v>112684.11</v>
      </c>
      <c r="S29" s="16">
        <f>795.28+11997.03+15520.81+3758.04+16498.72+24180.03+0+17881.01</f>
        <v>90630.92</v>
      </c>
      <c r="T29" s="16">
        <f t="shared" si="3"/>
        <v>76362.470000000016</v>
      </c>
      <c r="U29" s="15">
        <f>'[3]тариф начисл. 2019 с янв'!$P$35</f>
        <v>5993.23</v>
      </c>
      <c r="V29" s="15">
        <f>'[3]тариф начисл. 2019 с янв'!$O$35</f>
        <v>11130.29</v>
      </c>
      <c r="W29" s="15">
        <f>'[3]тариф начисл. 2019 с янв'!$N$35</f>
        <v>523123.54</v>
      </c>
      <c r="X29" s="15"/>
      <c r="Y29" s="15"/>
      <c r="Z29" s="15">
        <f>'[3]тариф начисл. 2019 с янв'!$AC$35</f>
        <v>856.18</v>
      </c>
      <c r="AA29" s="15">
        <f>'[3]тариф начисл. 2019 с янв'!$AD$35+'[3]тариф начисл. 2019 с янв'!$AE$35</f>
        <v>80480.539999999994</v>
      </c>
      <c r="AB29" s="15">
        <f>'[3]тариф начисл. 2019 с янв'!$AA$35</f>
        <v>3424.7</v>
      </c>
      <c r="AC29" s="15">
        <f>'[6]тариф начисл. 2020 с янв'!$AB$35+[6]год!$F$35</f>
        <v>16830</v>
      </c>
      <c r="AD29" s="15">
        <f>'[3]тариф начисл. 2019 с янв'!$Y$35</f>
        <v>75343.490000000005</v>
      </c>
      <c r="AE29" s="15">
        <f>'[3]тариф начисл. 2019 с янв'!$V$35</f>
        <v>277401.02</v>
      </c>
      <c r="AF29" s="15"/>
      <c r="AG29" s="15">
        <f>'[3]тариф начисл. 2019 с янв'!$BA$35</f>
        <v>123289.34</v>
      </c>
      <c r="AH29" s="16">
        <f t="shared" ref="AH29:AH47" si="7">SUM(U29:AG29)</f>
        <v>1117872.33</v>
      </c>
      <c r="AI29" s="17">
        <f>'[3]тариф начисл. 2019 с янв'!$AJ$35+[6]год!$R$35</f>
        <v>269570.74</v>
      </c>
      <c r="AJ29" s="17">
        <f>'[3]тариф начисл. 2019 с янв'!$AO$35</f>
        <v>139556.69</v>
      </c>
      <c r="AK29" s="17">
        <f>'[3]тариф начисл. 2019 с янв'!$AS$35</f>
        <v>81336.72</v>
      </c>
      <c r="AL29" s="17">
        <f>'[3]тариф начисл. 2019 с янв'!$AW$35</f>
        <v>71918.78</v>
      </c>
      <c r="AM29" s="17">
        <f>'[3]тариф начисл. 2019 с янв'!$AZ$35</f>
        <v>125001.7</v>
      </c>
      <c r="AN29" s="16">
        <f t="shared" si="4"/>
        <v>687384.63</v>
      </c>
      <c r="AO29" s="16">
        <f t="shared" si="2"/>
        <v>1805256.96</v>
      </c>
      <c r="AP29" s="247">
        <f t="shared" si="5"/>
        <v>53323.890000000058</v>
      </c>
      <c r="AQ29" s="22">
        <f t="shared" si="6"/>
        <v>1751933.0699999998</v>
      </c>
    </row>
    <row r="30" spans="1:43">
      <c r="A30" s="4">
        <v>21</v>
      </c>
      <c r="B30" s="21">
        <v>21</v>
      </c>
      <c r="C30" s="145">
        <v>27</v>
      </c>
      <c r="D30" s="84" t="s">
        <v>9</v>
      </c>
      <c r="E30" s="73">
        <v>167</v>
      </c>
      <c r="F30" s="73" t="s">
        <v>65</v>
      </c>
      <c r="G30" s="74">
        <v>1976</v>
      </c>
      <c r="H30" s="68">
        <f>'[2]тариф начисл. 2018 с янв'!$I$35</f>
        <v>2760.1</v>
      </c>
      <c r="I30" s="69" t="s">
        <v>40</v>
      </c>
      <c r="J30" s="75">
        <v>20.88</v>
      </c>
      <c r="K30" s="142">
        <v>236818.60999999987</v>
      </c>
      <c r="L30" s="70">
        <f>'[5]УК ЖЭУ-7 2020 год'!$L$30</f>
        <v>543239.88</v>
      </c>
      <c r="M30" s="70">
        <f>'[5]УК ЖЭУ-7 2020 год'!$M$30</f>
        <v>512709.63</v>
      </c>
      <c r="N30" s="70">
        <v>0</v>
      </c>
      <c r="O30" s="86">
        <f t="shared" si="0"/>
        <v>267348.85999999987</v>
      </c>
      <c r="P30" s="86"/>
      <c r="Q30" s="16">
        <v>8221.1300000000047</v>
      </c>
      <c r="R30" s="16">
        <f>4956.45+15418.32+61327.15+11660.22+72792.72+4798.32</f>
        <v>170953.18</v>
      </c>
      <c r="S30" s="16">
        <f>4233.87+14133.46+61327.15+11660.22+72792.72+3998.6</f>
        <v>168146.02</v>
      </c>
      <c r="T30" s="16">
        <f t="shared" si="3"/>
        <v>11028.290000000008</v>
      </c>
      <c r="U30" s="15">
        <f>'[3]тариф начисл. 2019 с янв'!$P$36</f>
        <v>2318.48</v>
      </c>
      <c r="V30" s="15">
        <f>'[3]тариф начисл. 2019 с янв'!$O$36</f>
        <v>4305.76</v>
      </c>
      <c r="W30" s="15">
        <f>'[3]тариф начисл. 2019 с янв'!$N$36</f>
        <v>202370.53</v>
      </c>
      <c r="X30" s="15"/>
      <c r="Y30" s="15"/>
      <c r="Z30" s="15">
        <f>'[3]тариф начисл. 2019 с янв'!$AC$36</f>
        <v>331.21</v>
      </c>
      <c r="AA30" s="15">
        <f>'[3]тариф начисл. 2019 с янв'!$AD$36+'[3]тариф начисл. 2019 с янв'!$AE$36</f>
        <v>31133.919999999998</v>
      </c>
      <c r="AB30" s="15">
        <f>'[3]тариф начисл. 2019 с янв'!$AA$36</f>
        <v>1324.85</v>
      </c>
      <c r="AC30" s="15">
        <f>'[6]тариф начисл. 2020 с янв'!$AB$36+[6]год!$F$36</f>
        <v>1538.28</v>
      </c>
      <c r="AD30" s="15">
        <f>'[3]тариф начисл. 2019 с янв'!$Z$36</f>
        <v>29146.66</v>
      </c>
      <c r="AE30" s="15">
        <f>'[3]тариф начисл. 2019 с янв'!$V$36</f>
        <v>107312.69</v>
      </c>
      <c r="AF30" s="15"/>
      <c r="AG30" s="15">
        <f>'[3]тариф начисл. 2019 с янв'!$BA$36</f>
        <v>47694.53</v>
      </c>
      <c r="AH30" s="16">
        <f t="shared" si="7"/>
        <v>427476.90999999992</v>
      </c>
      <c r="AI30" s="17">
        <f>'[3]тариф начисл. 2019 с янв'!$AJ$36+[6]год!$R$36</f>
        <v>124584.93</v>
      </c>
      <c r="AJ30" s="17">
        <f>'[3]тариф начисл. 2019 с янв'!$AO$36+[6]год!$X$36</f>
        <v>64426.559999999998</v>
      </c>
      <c r="AK30" s="17">
        <f>'[3]тариф начисл. 2019 с янв'!$AS$36</f>
        <v>31465.14</v>
      </c>
      <c r="AL30" s="17">
        <f>'[3]тариф начисл. 2019 с янв'!$AW$36</f>
        <v>27821.81</v>
      </c>
      <c r="AM30" s="17">
        <f>'[3]тариф начисл. 2019 с янв'!$AZ$36+[6]дек!$AR$36</f>
        <v>66216.95</v>
      </c>
      <c r="AN30" s="16">
        <f t="shared" si="4"/>
        <v>314515.39</v>
      </c>
      <c r="AO30" s="16">
        <f t="shared" si="2"/>
        <v>741992.29999999993</v>
      </c>
      <c r="AP30" s="247">
        <f t="shared" si="5"/>
        <v>61136.649999999936</v>
      </c>
      <c r="AQ30" s="22">
        <f t="shared" si="6"/>
        <v>680855.65</v>
      </c>
    </row>
    <row r="31" spans="1:43">
      <c r="A31" s="4">
        <v>22</v>
      </c>
      <c r="B31" s="20">
        <v>22</v>
      </c>
      <c r="C31" s="145">
        <v>28</v>
      </c>
      <c r="D31" s="84" t="s">
        <v>9</v>
      </c>
      <c r="E31" s="73">
        <v>169</v>
      </c>
      <c r="F31" s="73" t="s">
        <v>65</v>
      </c>
      <c r="G31" s="74">
        <v>1986</v>
      </c>
      <c r="H31" s="68">
        <f>'[2]тариф начисл. 2018 с янв'!$I$36</f>
        <v>2132.6999999999998</v>
      </c>
      <c r="I31" s="69" t="s">
        <v>40</v>
      </c>
      <c r="J31" s="75">
        <v>23.27</v>
      </c>
      <c r="K31" s="142">
        <v>48553.380000000005</v>
      </c>
      <c r="L31" s="70">
        <f>'[5]УК ЖЭУ-7 2020 год'!$L$32</f>
        <v>455237.52</v>
      </c>
      <c r="M31" s="70">
        <f>'[5]УК ЖЭУ-7 2020 год'!$M$32</f>
        <v>451477.75</v>
      </c>
      <c r="N31" s="70">
        <v>0</v>
      </c>
      <c r="O31" s="86">
        <f t="shared" si="0"/>
        <v>52313.150000000023</v>
      </c>
      <c r="P31" s="86"/>
      <c r="Q31" s="16">
        <v>2110.0999999999913</v>
      </c>
      <c r="R31" s="16">
        <f>4956.45+64418.64+3156.53</f>
        <v>72531.62</v>
      </c>
      <c r="S31" s="16">
        <f>4233.87+64418.64+630.44</f>
        <v>69282.95</v>
      </c>
      <c r="T31" s="16">
        <f t="shared" si="3"/>
        <v>5358.7699999999895</v>
      </c>
      <c r="U31" s="15">
        <f>'[3]тариф начисл. 2019 с янв'!$P$37</f>
        <v>1791.47</v>
      </c>
      <c r="V31" s="15">
        <f>'[3]тариф начисл. 2019 с янв'!$O$37+[3]авг!$F$37</f>
        <v>38516.560000000005</v>
      </c>
      <c r="W31" s="15">
        <f>'[3]тариф начисл. 2019 с янв'!$N$37</f>
        <v>156369.56</v>
      </c>
      <c r="X31" s="15">
        <f>'[3]тариф начисл. 2019 с янв'!$BC$37</f>
        <v>61933.61</v>
      </c>
      <c r="Y31" s="15"/>
      <c r="Z31" s="15">
        <f>'[3]тариф начисл. 2019 с янв'!$AC$37</f>
        <v>255.92</v>
      </c>
      <c r="AA31" s="15">
        <f>'[3]тариф начисл. 2019 с янв'!$AD$37+'[3]тариф начисл. 2019 с янв'!$AE$37</f>
        <v>24056.86</v>
      </c>
      <c r="AB31" s="15">
        <f>'[3]тариф начисл. 2019 с янв'!$AA$37</f>
        <v>1023.7</v>
      </c>
      <c r="AC31" s="15">
        <f>'[3]тариф начисл. 2019 с янв'!$AB$37+[6]год!$F$37</f>
        <v>1163.79</v>
      </c>
      <c r="AD31" s="15">
        <f>'[3]тариф начисл. 2019 с янв'!$Z$37</f>
        <v>0</v>
      </c>
      <c r="AE31" s="15">
        <f>'[3]тариф начисл. 2019 с янв'!$V$37</f>
        <v>82919.38</v>
      </c>
      <c r="AF31" s="15"/>
      <c r="AG31" s="15">
        <f>'[3]тариф начисл. 2019 с янв'!$BA$37</f>
        <v>36853.06</v>
      </c>
      <c r="AH31" s="16">
        <f t="shared" si="7"/>
        <v>404883.91000000003</v>
      </c>
      <c r="AI31" s="17">
        <f>'[3]тариф начисл. 2019 с янв'!$AJ$37</f>
        <v>79592.36</v>
      </c>
      <c r="AJ31" s="17">
        <f>'[3]тариф начисл. 2019 с янв'!$AO$37</f>
        <v>26360.17</v>
      </c>
      <c r="AK31" s="17">
        <f>'[3]тариф начисл. 2019 с янв'!$AS$37</f>
        <v>28919.41</v>
      </c>
      <c r="AL31" s="17">
        <f>'[3]тариф начисл. 2019 с янв'!$AW$37</f>
        <v>21753.54</v>
      </c>
      <c r="AM31" s="17">
        <f>'[3]тариф начисл. 2019 с янв'!$AZ$37</f>
        <v>37364.9</v>
      </c>
      <c r="AN31" s="16">
        <f t="shared" si="4"/>
        <v>193990.38</v>
      </c>
      <c r="AO31" s="16">
        <f t="shared" si="2"/>
        <v>598874.29</v>
      </c>
      <c r="AP31" s="247">
        <f t="shared" si="5"/>
        <v>78113.59000000004</v>
      </c>
      <c r="AQ31" s="22">
        <f t="shared" si="6"/>
        <v>520760.7</v>
      </c>
    </row>
    <row r="32" spans="1:43">
      <c r="A32" s="4">
        <v>25</v>
      </c>
      <c r="B32" s="20">
        <v>25</v>
      </c>
      <c r="C32" s="145">
        <v>29</v>
      </c>
      <c r="D32" s="84" t="s">
        <v>9</v>
      </c>
      <c r="E32" s="73">
        <v>191</v>
      </c>
      <c r="F32" s="73" t="s">
        <v>65</v>
      </c>
      <c r="G32" s="74">
        <v>1968</v>
      </c>
      <c r="H32" s="68">
        <f>'[2]тариф начисл. 2018 с янв'!$I$37</f>
        <v>4394.3999999999996</v>
      </c>
      <c r="I32" s="69" t="s">
        <v>40</v>
      </c>
      <c r="J32" s="75">
        <v>20.88</v>
      </c>
      <c r="K32" s="142">
        <v>149292.92000000039</v>
      </c>
      <c r="L32" s="70">
        <f>'[5]УК ЖЭУ-7 2020 год'!$L$33</f>
        <v>1040070.26</v>
      </c>
      <c r="M32" s="70">
        <f>'[5]УК ЖЭУ-7 2020 год'!$M$33</f>
        <v>1008127.06</v>
      </c>
      <c r="N32" s="70">
        <v>0</v>
      </c>
      <c r="O32" s="86">
        <f t="shared" si="0"/>
        <v>181236.12000000034</v>
      </c>
      <c r="P32" s="86"/>
      <c r="Q32" s="16">
        <v>33757.89999999998</v>
      </c>
      <c r="R32" s="16">
        <f>12614.35+18125.8+36606.22+19735.95+4956.45+6855.43</f>
        <v>98894.199999999983</v>
      </c>
      <c r="S32" s="16">
        <f>2753.96+21560.04+36606.22+15800.49+4233.87+5712.86</f>
        <v>86667.44</v>
      </c>
      <c r="T32" s="16">
        <f t="shared" si="3"/>
        <v>45984.659999999974</v>
      </c>
      <c r="U32" s="15">
        <f>'[3]тариф начисл. 2019 с янв'!$P$38</f>
        <v>3691.3</v>
      </c>
      <c r="V32" s="15">
        <f>'[3]тариф начисл. 2019 с янв'!$O$38+[3]авг!$F$38</f>
        <v>66927.59</v>
      </c>
      <c r="W32" s="15">
        <f>'[3]тариф начисл. 2019 с янв'!$N$38</f>
        <v>322197.40999999997</v>
      </c>
      <c r="X32" s="15"/>
      <c r="Y32" s="15"/>
      <c r="Z32" s="15">
        <f>'[3]тариф начисл. 2019 с янв'!$AC$38</f>
        <v>527.33000000000004</v>
      </c>
      <c r="AA32" s="15">
        <f>'[3]тариф начисл. 2019 с янв'!$AD$38+'[3]тариф начисл. 2019 с янв'!$AE$38</f>
        <v>49568.84</v>
      </c>
      <c r="AB32" s="15">
        <f>'[3]тариф начисл. 2019 с янв'!$AA$38</f>
        <v>2109.31</v>
      </c>
      <c r="AC32" s="15">
        <f>'[6]тариф начисл. 2020 с янв'!$AB$38+[6]год!$F$38</f>
        <v>4293.18</v>
      </c>
      <c r="AD32" s="15">
        <f>'[3]тариф начисл. 2019 с янв'!$Z$38</f>
        <v>46404.86</v>
      </c>
      <c r="AE32" s="15">
        <f>'[3]тариф начисл. 2019 с янв'!$V$38</f>
        <v>170854.27</v>
      </c>
      <c r="AF32" s="15"/>
      <c r="AG32" s="15">
        <f>'[3]тариф начисл. 2019 с янв'!$BA$38</f>
        <v>75935.23</v>
      </c>
      <c r="AH32" s="16">
        <f t="shared" si="7"/>
        <v>742509.32</v>
      </c>
      <c r="AI32" s="17">
        <f>'[6]тариф начисл. 2020 с янв'!$AJ$38</f>
        <v>163999.01</v>
      </c>
      <c r="AJ32" s="17">
        <f>'[3]тариф начисл. 2019 с янв'!$AO$38</f>
        <v>85954.46</v>
      </c>
      <c r="AK32" s="17">
        <f>'[3]тариф начисл. 2019 с янв'!$AS$38</f>
        <v>50096.160000000003</v>
      </c>
      <c r="AL32" s="17">
        <f>'[3]тариф начисл. 2019 с янв'!$AW$38</f>
        <v>44295.55</v>
      </c>
      <c r="AM32" s="17">
        <f>'[3]тариф начисл. 2019 с янв'!$AZ$38</f>
        <v>76989.89</v>
      </c>
      <c r="AN32" s="16">
        <f t="shared" si="4"/>
        <v>421335.07</v>
      </c>
      <c r="AO32" s="16">
        <f t="shared" si="2"/>
        <v>1163844.3899999999</v>
      </c>
      <c r="AP32" s="249">
        <f t="shared" si="5"/>
        <v>69049.889999999839</v>
      </c>
      <c r="AQ32" s="22">
        <f t="shared" si="6"/>
        <v>1094794.5</v>
      </c>
    </row>
    <row r="33" spans="1:43">
      <c r="A33" s="4">
        <v>26</v>
      </c>
      <c r="B33" s="21">
        <v>26</v>
      </c>
      <c r="C33" s="145">
        <v>30</v>
      </c>
      <c r="D33" s="84" t="s">
        <v>9</v>
      </c>
      <c r="E33" s="73">
        <v>193</v>
      </c>
      <c r="F33" s="73" t="s">
        <v>65</v>
      </c>
      <c r="G33" s="74">
        <v>1967</v>
      </c>
      <c r="H33" s="68">
        <f>'[3]тариф начисл. 2019 с янв'!$I$39</f>
        <v>2713.5</v>
      </c>
      <c r="I33" s="69" t="s">
        <v>40</v>
      </c>
      <c r="J33" s="75">
        <v>20.88</v>
      </c>
      <c r="K33" s="142">
        <v>81914.319999999949</v>
      </c>
      <c r="L33" s="70">
        <f>'[5]УК ЖЭУ-7 2020 год'!$L$34</f>
        <v>653460.24</v>
      </c>
      <c r="M33" s="70">
        <f>'[5]УК ЖЭУ-7 2020 год'!$M$34</f>
        <v>668742.18000000005</v>
      </c>
      <c r="N33" s="70">
        <v>0</v>
      </c>
      <c r="O33" s="86">
        <f t="shared" si="0"/>
        <v>66632.379999999888</v>
      </c>
      <c r="P33" s="86"/>
      <c r="Q33" s="16">
        <v>42330.42</v>
      </c>
      <c r="R33" s="16">
        <f>7927.09+11335.44+15833.64+4956.45+4798.32</f>
        <v>44850.939999999995</v>
      </c>
      <c r="S33" s="16">
        <f>1730.64+0+17000+4233.87+3998.6</f>
        <v>26963.109999999997</v>
      </c>
      <c r="T33" s="16">
        <f t="shared" si="3"/>
        <v>60218.249999999985</v>
      </c>
      <c r="U33" s="15">
        <f>'[3]тариф начисл. 2019 с янв'!$P$39</f>
        <v>2279.34</v>
      </c>
      <c r="V33" s="15">
        <f>'[3]тариф начисл. 2019 с янв'!$O$39+[3]авг!$F$39</f>
        <v>52033.53</v>
      </c>
      <c r="W33" s="15">
        <f>'[3]тариф начисл. 2019 с янв'!$N$39</f>
        <v>198953.82</v>
      </c>
      <c r="X33" s="15"/>
      <c r="Y33" s="15"/>
      <c r="Z33" s="15">
        <f>'[3]тариф начисл. 2019 с янв'!$AC$39</f>
        <v>325.62</v>
      </c>
      <c r="AA33" s="15">
        <f>'[3]тариф начисл. 2019 с янв'!$AD$39+'[3]тариф начисл. 2019 с янв'!$AE$39</f>
        <v>30608.28</v>
      </c>
      <c r="AB33" s="15">
        <f>'[3]тариф начисл. 2019 с янв'!$AA$39</f>
        <v>1302.48</v>
      </c>
      <c r="AC33" s="15">
        <f>'[3]тариф начисл. 2019 с янв'!$AB$39+[6]год!$F$39</f>
        <v>2526.8200000000002</v>
      </c>
      <c r="AD33" s="15">
        <f>'[3]тариф начисл. 2019 с янв'!$Z$39</f>
        <v>28654.560000000001</v>
      </c>
      <c r="AE33" s="15">
        <f>'[3]тариф начисл. 2019 с янв'!$V$39</f>
        <v>105500.88</v>
      </c>
      <c r="AF33" s="15"/>
      <c r="AG33" s="15">
        <f>'[3]тариф начисл. 2019 с янв'!$BA$39</f>
        <v>46889.279999999999</v>
      </c>
      <c r="AH33" s="16">
        <f t="shared" si="7"/>
        <v>469074.61</v>
      </c>
      <c r="AI33" s="17">
        <f>'[3]тариф начисл. 2019 с янв'!$AJ$39+[6]год!$R$39</f>
        <v>104867.82</v>
      </c>
      <c r="AJ33" s="17">
        <f>'[3]тариф начисл. 2019 с янв'!$AO$39</f>
        <v>53076.06</v>
      </c>
      <c r="AK33" s="17">
        <f>'[3]тариф начисл. 2019 с янв'!$AS$39</f>
        <v>30933.9</v>
      </c>
      <c r="AL33" s="17">
        <f>'[3]тариф начисл. 2019 с янв'!$AW$39</f>
        <v>27352.080000000002</v>
      </c>
      <c r="AM33" s="17">
        <f>'[3]тариф начисл. 2019 с янв'!$AZ$39</f>
        <v>47540.52</v>
      </c>
      <c r="AN33" s="16">
        <f t="shared" si="4"/>
        <v>263770.38</v>
      </c>
      <c r="AO33" s="16">
        <f t="shared" si="2"/>
        <v>732844.99</v>
      </c>
      <c r="AP33" s="247">
        <f t="shared" si="5"/>
        <v>37139.699999999939</v>
      </c>
      <c r="AQ33" s="22">
        <f t="shared" si="6"/>
        <v>695705.29</v>
      </c>
    </row>
    <row r="34" spans="1:43">
      <c r="A34" s="4">
        <v>27</v>
      </c>
      <c r="B34" s="21">
        <v>27</v>
      </c>
      <c r="C34" s="145">
        <v>31</v>
      </c>
      <c r="D34" s="84" t="s">
        <v>9</v>
      </c>
      <c r="E34" s="73">
        <v>195</v>
      </c>
      <c r="F34" s="74" t="s">
        <v>32</v>
      </c>
      <c r="G34" s="73">
        <v>1988</v>
      </c>
      <c r="H34" s="68">
        <f>'[2]тариф начисл. 2018 с янв'!$I$39</f>
        <v>2326.1999999999998</v>
      </c>
      <c r="I34" s="69" t="s">
        <v>66</v>
      </c>
      <c r="J34" s="139" t="s">
        <v>198</v>
      </c>
      <c r="K34" s="142">
        <v>293163.36</v>
      </c>
      <c r="L34" s="70">
        <f>'[5]УК ЖЭУ-7 2020 год'!$L$35</f>
        <v>838717.38</v>
      </c>
      <c r="M34" s="70">
        <f>'[5]УК ЖЭУ-7 2020 год'!$M$35</f>
        <v>851092.51</v>
      </c>
      <c r="N34" s="70">
        <v>0</v>
      </c>
      <c r="O34" s="86">
        <f t="shared" si="0"/>
        <v>280788.23</v>
      </c>
      <c r="P34" s="86"/>
      <c r="Q34" s="16">
        <v>18112.749999999985</v>
      </c>
      <c r="R34" s="16">
        <f>4956.45+3420.39+17822+86457.64</f>
        <v>112656.48</v>
      </c>
      <c r="S34" s="16">
        <f>4233.87+850.32+13442+79525.27</f>
        <v>98051.46</v>
      </c>
      <c r="T34" s="16">
        <f t="shared" si="3"/>
        <v>32717.769999999975</v>
      </c>
      <c r="U34" s="15">
        <f>'[3]тариф начисл. 2019 с янв'!$P$40</f>
        <v>1954.01</v>
      </c>
      <c r="V34" s="15">
        <f>'[3]тариф начисл. 2019 с янв'!$O$40+[3]авг!$F$40</f>
        <v>10780.66</v>
      </c>
      <c r="W34" s="15">
        <f>'[3]тариф начисл. 2019 с янв'!$N$40</f>
        <v>170556.98</v>
      </c>
      <c r="X34" s="15">
        <f>'[3]тариф начисл. 2019 с янв'!$BC$40</f>
        <v>67552.850000000006</v>
      </c>
      <c r="Y34" s="15">
        <f>'[3]тариф начисл. 2019 с янв'!$BE$40+[6]год!$Z$40</f>
        <v>268797.96000000002</v>
      </c>
      <c r="Z34" s="15">
        <f>'[3]тариф начисл. 2019 с янв'!$AC$40</f>
        <v>279.14</v>
      </c>
      <c r="AA34" s="15">
        <f>'[3]тариф начисл. 2019 с янв'!$AD$40+'[3]тариф начисл. 2019 с янв'!$AE$40</f>
        <v>26239.54</v>
      </c>
      <c r="AB34" s="15">
        <f>'[3]тариф начисл. 2019 с янв'!$AA$40</f>
        <v>1116.58</v>
      </c>
      <c r="AC34" s="15">
        <f>'[3]тариф начисл. 2019 с янв'!$AB$40+[6]год!$F$40</f>
        <v>1615.65</v>
      </c>
      <c r="AD34" s="15">
        <f>'[3]тариф начисл. 2019 с янв'!$Z$40</f>
        <v>0</v>
      </c>
      <c r="AE34" s="15">
        <f>'[3]тариф начисл. 2019 с янв'!$V$40</f>
        <v>90442.66</v>
      </c>
      <c r="AF34" s="15"/>
      <c r="AG34" s="15">
        <f>'[3]тариф начисл. 2019 с янв'!$BA$40</f>
        <v>40196.74</v>
      </c>
      <c r="AH34" s="16">
        <f t="shared" si="7"/>
        <v>679532.77000000014</v>
      </c>
      <c r="AI34" s="17">
        <f>'[6]тариф начисл. 2020 с янв'!$AJ$40+[6]год!$R$40</f>
        <v>114728.38</v>
      </c>
      <c r="AJ34" s="17">
        <f>'[3]тариф начисл. 2019 с янв'!$AO$40</f>
        <v>45500.47</v>
      </c>
      <c r="AK34" s="17">
        <f>'[3]тариф начисл. 2019 с янв'!$AS$40</f>
        <v>49966.78</v>
      </c>
      <c r="AL34" s="17">
        <f>'[3]тариф начисл. 2019 с янв'!$AW$40+[6]дек!$AM$40</f>
        <v>30850.240000000002</v>
      </c>
      <c r="AM34" s="17">
        <f>'[3]тариф начисл. 2019 с янв'!$AZ$40</f>
        <v>40755.019999999997</v>
      </c>
      <c r="AN34" s="16">
        <f t="shared" si="4"/>
        <v>281800.89</v>
      </c>
      <c r="AO34" s="16">
        <f t="shared" si="2"/>
        <v>961333.66000000015</v>
      </c>
      <c r="AP34" s="256">
        <f t="shared" si="5"/>
        <v>12189.690000000133</v>
      </c>
      <c r="AQ34" s="22">
        <f t="shared" si="6"/>
        <v>949143.97</v>
      </c>
    </row>
    <row r="35" spans="1:43">
      <c r="A35" s="4">
        <v>29</v>
      </c>
      <c r="B35" s="30">
        <v>29</v>
      </c>
      <c r="C35" s="145">
        <v>32</v>
      </c>
      <c r="D35" s="84" t="s">
        <v>9</v>
      </c>
      <c r="E35" s="73" t="s">
        <v>21</v>
      </c>
      <c r="F35" s="73" t="s">
        <v>65</v>
      </c>
      <c r="G35" s="74">
        <v>1976</v>
      </c>
      <c r="H35" s="68">
        <f>'[3]тариф начисл. 2019 с янв'!$I$41</f>
        <v>5414.4</v>
      </c>
      <c r="I35" s="69" t="s">
        <v>40</v>
      </c>
      <c r="J35" s="75">
        <v>20.88</v>
      </c>
      <c r="K35" s="142">
        <v>287772.67</v>
      </c>
      <c r="L35" s="70">
        <f>'[5]УК ЖЭУ-7 2020 год'!$L$31</f>
        <v>1342225.44</v>
      </c>
      <c r="M35" s="70">
        <f>'[5]УК ЖЭУ-7 2020 год'!$M$31</f>
        <v>1299983.06</v>
      </c>
      <c r="N35" s="70">
        <v>0</v>
      </c>
      <c r="O35" s="86">
        <f t="shared" si="0"/>
        <v>330015.04999999981</v>
      </c>
      <c r="P35" s="86"/>
      <c r="Q35" s="16">
        <v>12749.010000000002</v>
      </c>
      <c r="R35" s="16">
        <f>4956.45+13063.12+6762.84</f>
        <v>24782.41</v>
      </c>
      <c r="S35" s="16">
        <f>4233.87+9158.1+3159.24</f>
        <v>16551.21</v>
      </c>
      <c r="T35" s="16">
        <f t="shared" si="3"/>
        <v>20980.21</v>
      </c>
      <c r="U35" s="15">
        <f>'[3]тариф начисл. 2019 с янв'!$P$41</f>
        <v>4548.1000000000004</v>
      </c>
      <c r="V35" s="15">
        <f>'[6]тариф начисл. 2020 с янв'!$O$36+[6]авг!$F$36</f>
        <v>4305.76</v>
      </c>
      <c r="W35" s="15">
        <f>'[3]тариф начисл. 2019 с янв'!$N$41</f>
        <v>396983.81</v>
      </c>
      <c r="X35" s="15"/>
      <c r="Y35" s="15"/>
      <c r="Z35" s="15">
        <f>'[3]тариф начисл. 2019 с янв'!$AC$41</f>
        <v>649.73</v>
      </c>
      <c r="AA35" s="15">
        <f>'[3]тариф начисл. 2019 с янв'!$AD$41+'[3]тариф начисл. 2019 с янв'!$AE$41</f>
        <v>61074.44</v>
      </c>
      <c r="AB35" s="15">
        <f>'[3]тариф начисл. 2019 с янв'!$AA$41</f>
        <v>2598.91</v>
      </c>
      <c r="AC35" s="15">
        <f>'[6]тариф начисл. 2020 с янв'!$AB$41+[6]год!$F$41</f>
        <v>5572.58</v>
      </c>
      <c r="AD35" s="15">
        <f>'[3]тариф начисл. 2019 с янв'!$Z$41</f>
        <v>57176.06</v>
      </c>
      <c r="AE35" s="15">
        <f>'[3]тариф начисл. 2019 с янв'!$V$41</f>
        <v>210511.87</v>
      </c>
      <c r="AF35" s="15"/>
      <c r="AG35" s="15">
        <f>'[3]тариф начисл. 2019 с янв'!$BA$41</f>
        <v>93560.83</v>
      </c>
      <c r="AH35" s="16">
        <f t="shared" si="7"/>
        <v>836982.08999999985</v>
      </c>
      <c r="AI35" s="17">
        <f>'[6]тариф начисл. 2020 с янв'!$AJ$41</f>
        <v>202065.41</v>
      </c>
      <c r="AJ35" s="17">
        <f>'[3]тариф начисл. 2019 с янв'!$AO$41</f>
        <v>105905.66</v>
      </c>
      <c r="AK35" s="17">
        <f>'[3]тариф начисл. 2019 с янв'!$AS$41</f>
        <v>61724.160000000003</v>
      </c>
      <c r="AL35" s="17">
        <f>'[3]тариф начисл. 2019 с янв'!$AW$41</f>
        <v>54577.15</v>
      </c>
      <c r="AM35" s="17">
        <f>'[3]тариф начисл. 2019 с янв'!$AZ$41</f>
        <v>94860.29</v>
      </c>
      <c r="AN35" s="16">
        <f t="shared" si="4"/>
        <v>519132.67</v>
      </c>
      <c r="AO35" s="16">
        <f t="shared" si="2"/>
        <v>1356114.7599999998</v>
      </c>
      <c r="AP35" s="247">
        <f t="shared" si="5"/>
        <v>39580.489999999721</v>
      </c>
      <c r="AQ35" s="22">
        <f t="shared" si="6"/>
        <v>1316534.27</v>
      </c>
    </row>
    <row r="36" spans="1:43">
      <c r="A36" s="4">
        <v>32</v>
      </c>
      <c r="B36" s="21">
        <v>32</v>
      </c>
      <c r="C36" s="145">
        <v>33</v>
      </c>
      <c r="D36" s="84" t="s">
        <v>7</v>
      </c>
      <c r="E36" s="73">
        <v>157</v>
      </c>
      <c r="F36" s="73" t="s">
        <v>65</v>
      </c>
      <c r="G36" s="74">
        <v>1962</v>
      </c>
      <c r="H36" s="68">
        <f>'[2]тариф начисл. 2018 с янв'!$I$41</f>
        <v>4099.5</v>
      </c>
      <c r="I36" s="69" t="s">
        <v>40</v>
      </c>
      <c r="J36" s="75">
        <v>20.88</v>
      </c>
      <c r="K36" s="142">
        <v>222194.52000000002</v>
      </c>
      <c r="L36" s="70">
        <f>'[5]УК ЖЭУ-7 2020 год'!$L$46</f>
        <v>972573.84</v>
      </c>
      <c r="M36" s="70">
        <f>'[5]УК ЖЭУ-7 2020 год'!$M$46</f>
        <v>979424.1</v>
      </c>
      <c r="N36" s="70">
        <v>0</v>
      </c>
      <c r="O36" s="86">
        <f t="shared" ref="O36:O67" si="8">K36+L36-M36+N36</f>
        <v>215344.25999999989</v>
      </c>
      <c r="P36" s="86"/>
      <c r="Q36" s="16">
        <v>-7493.4700000000084</v>
      </c>
      <c r="R36" s="16">
        <f>8400+8496.3+35175.93+19821.28</f>
        <v>71893.509999999995</v>
      </c>
      <c r="S36" s="16">
        <f>8050+11328.4+25175.93+19821.28</f>
        <v>64375.61</v>
      </c>
      <c r="T36" s="16">
        <f t="shared" si="3"/>
        <v>24.429999999985739</v>
      </c>
      <c r="U36" s="15">
        <f>'[3]тариф начисл. 2019 с янв'!$P$42</f>
        <v>3443.58</v>
      </c>
      <c r="V36" s="15">
        <f>'[3]тариф начисл. 2019 с янв'!$O$42+[3]авг!$F$42</f>
        <v>19498.170000000002</v>
      </c>
      <c r="W36" s="15">
        <f>'[3]тариф начисл. 2019 с янв'!$N$42</f>
        <v>300575.34000000003</v>
      </c>
      <c r="X36" s="15"/>
      <c r="Y36" s="15"/>
      <c r="Z36" s="15">
        <f>'[3]тариф начисл. 2019 с янв'!$AC$42</f>
        <v>491.94</v>
      </c>
      <c r="AA36" s="15">
        <f>'[3]тариф начисл. 2019 с янв'!$AD$42+'[3]тариф начисл. 2019 с янв'!$AE$42</f>
        <v>46242.36</v>
      </c>
      <c r="AB36" s="15">
        <f>'[3]тариф начисл. 2019 с янв'!$AA$42</f>
        <v>1967.76</v>
      </c>
      <c r="AC36" s="15">
        <f>'[3]тариф начисл. 2019 с янв'!$AB$42+[6]год!$F$42</f>
        <v>2523.04</v>
      </c>
      <c r="AD36" s="15">
        <f>'[3]тариф начисл. 2019 с янв'!$Z$42</f>
        <v>43290.720000000001</v>
      </c>
      <c r="AE36" s="15">
        <f>'[3]тариф начисл. 2019 с янв'!$V$42</f>
        <v>159388.56</v>
      </c>
      <c r="AF36" s="15"/>
      <c r="AG36" s="15">
        <f>'[3]тариф начисл. 2019 с янв'!$BA$42</f>
        <v>70839.360000000001</v>
      </c>
      <c r="AH36" s="16">
        <f t="shared" si="7"/>
        <v>648260.82999999996</v>
      </c>
      <c r="AI36" s="17">
        <f>'[6]тариф начисл. 2020 с янв'!$AJ$42+[6]год!$R$42</f>
        <v>231317.94</v>
      </c>
      <c r="AJ36" s="17">
        <f>'[3]тариф начисл. 2019 с янв'!$AO$42</f>
        <v>80186.22</v>
      </c>
      <c r="AK36" s="17">
        <f>'[3]тариф начисл. 2019 с янв'!$AS$42</f>
        <v>46734.3</v>
      </c>
      <c r="AL36" s="17">
        <f>'[3]тариф начисл. 2019 с янв'!$AW$42</f>
        <v>41322.959999999999</v>
      </c>
      <c r="AM36" s="17">
        <f>'[3]тариф начисл. 2019 с янв'!$AZ$42</f>
        <v>71823.240000000005</v>
      </c>
      <c r="AN36" s="16">
        <f t="shared" si="4"/>
        <v>471384.66000000003</v>
      </c>
      <c r="AO36" s="16">
        <f t="shared" ref="AO36:AO84" si="9">AH36+AN36</f>
        <v>1119645.49</v>
      </c>
      <c r="AP36" s="257">
        <f t="shared" si="5"/>
        <v>75845.780000000013</v>
      </c>
      <c r="AQ36" s="22">
        <f t="shared" si="6"/>
        <v>1043799.71</v>
      </c>
    </row>
    <row r="37" spans="1:43">
      <c r="A37" s="4">
        <v>33</v>
      </c>
      <c r="B37" s="30">
        <v>33</v>
      </c>
      <c r="C37" s="145">
        <v>34</v>
      </c>
      <c r="D37" s="84" t="s">
        <v>7</v>
      </c>
      <c r="E37" s="73">
        <v>161</v>
      </c>
      <c r="F37" s="74" t="s">
        <v>32</v>
      </c>
      <c r="G37" s="73">
        <v>1967</v>
      </c>
      <c r="H37" s="68">
        <f>'[2]тариф начисл. 2018 с янв'!$I$42</f>
        <v>3116.6</v>
      </c>
      <c r="I37" s="69" t="s">
        <v>40</v>
      </c>
      <c r="J37" s="75">
        <v>20.88</v>
      </c>
      <c r="K37" s="142">
        <v>305565.68000000005</v>
      </c>
      <c r="L37" s="70">
        <f>'[5]УК ЖЭУ-7 2020 год'!$L$47</f>
        <v>747645.72</v>
      </c>
      <c r="M37" s="70">
        <f>'[5]УК ЖЭУ-7 2020 год'!$M$47</f>
        <v>743069.91</v>
      </c>
      <c r="N37" s="70">
        <v>0</v>
      </c>
      <c r="O37" s="86">
        <f t="shared" si="8"/>
        <v>310141.48999999987</v>
      </c>
      <c r="P37" s="86"/>
      <c r="Q37" s="16">
        <v>32050.22</v>
      </c>
      <c r="R37" s="16">
        <f>8400+18321.64+14890.33+18837.3</f>
        <v>60449.270000000004</v>
      </c>
      <c r="S37" s="16">
        <f>8050+18321.64+12777.33+18837.3</f>
        <v>57986.270000000004</v>
      </c>
      <c r="T37" s="16">
        <f t="shared" si="3"/>
        <v>34513.22</v>
      </c>
      <c r="U37" s="15">
        <f>'[3]тариф начисл. 2019 с янв'!$P$43</f>
        <v>2617.94</v>
      </c>
      <c r="V37" s="15">
        <f>'[3]тариф начисл. 2019 с янв'!$O$43+[3]авг!$F$43</f>
        <v>58781.590000000004</v>
      </c>
      <c r="W37" s="15">
        <f>'[3]тариф начисл. 2019 с янв'!$N$43</f>
        <v>228509.11</v>
      </c>
      <c r="X37" s="15"/>
      <c r="Y37" s="15"/>
      <c r="Z37" s="15">
        <f>'[3]тариф начисл. 2019 с янв'!$AC$43</f>
        <v>373.99</v>
      </c>
      <c r="AA37" s="15">
        <f>'[3]тариф начисл. 2019 с янв'!$AD$43+'[3]тариф начисл. 2019 с янв'!$AE$43</f>
        <v>35155.24</v>
      </c>
      <c r="AB37" s="15">
        <f>'[3]тариф начисл. 2019 с янв'!$AA$43</f>
        <v>1495.97</v>
      </c>
      <c r="AC37" s="15">
        <f>'[6]тариф начисл. 2020 с янв'!$AB$43+[6]год!$F$43</f>
        <v>8079.6100000000006</v>
      </c>
      <c r="AD37" s="15">
        <f>'[3]тариф начисл. 2019 с янв'!$Z$43</f>
        <v>32911.300000000003</v>
      </c>
      <c r="AE37" s="15">
        <f>'[3]тариф начисл. 2019 с янв'!$V$43</f>
        <v>121173.41</v>
      </c>
      <c r="AF37" s="15"/>
      <c r="AG37" s="15">
        <f>'[3]тариф начисл. 2019 с янв'!$BA$43</f>
        <v>53854.85</v>
      </c>
      <c r="AH37" s="16">
        <f t="shared" si="7"/>
        <v>542953.00999999989</v>
      </c>
      <c r="AI37" s="17">
        <f>'[6]тариф начисл. 2020 с янв'!$AJ$43+[6]год!$R$43</f>
        <v>127914.51</v>
      </c>
      <c r="AJ37" s="17">
        <f>'[3]тариф начисл. 2019 с янв'!$AO$43</f>
        <v>60960.7</v>
      </c>
      <c r="AK37" s="17">
        <f>'[3]тариф начисл. 2019 с янв'!$AS$43</f>
        <v>35529.24</v>
      </c>
      <c r="AL37" s="17">
        <f>'[3]тариф начисл. 2019 с янв'!$AW$43</f>
        <v>31415.33</v>
      </c>
      <c r="AM37" s="17">
        <f>'[3]тариф начисл. 2019 с янв'!$AZ$43</f>
        <v>54602.83</v>
      </c>
      <c r="AN37" s="16">
        <f t="shared" si="4"/>
        <v>310422.61</v>
      </c>
      <c r="AO37" s="16">
        <f t="shared" si="9"/>
        <v>853375.61999999988</v>
      </c>
      <c r="AP37" s="247">
        <f t="shared" si="5"/>
        <v>52319.439999999842</v>
      </c>
      <c r="AQ37" s="22">
        <f t="shared" si="6"/>
        <v>801056.18</v>
      </c>
    </row>
    <row r="38" spans="1:43">
      <c r="A38" s="4">
        <v>34</v>
      </c>
      <c r="B38" s="31">
        <v>34</v>
      </c>
      <c r="C38" s="145">
        <v>35</v>
      </c>
      <c r="D38" s="84" t="s">
        <v>7</v>
      </c>
      <c r="E38" s="73">
        <v>163</v>
      </c>
      <c r="F38" s="74" t="s">
        <v>32</v>
      </c>
      <c r="G38" s="73">
        <v>1967</v>
      </c>
      <c r="H38" s="68">
        <f>'[2]тариф начисл. 2018 с янв'!$I$43</f>
        <v>3101.6</v>
      </c>
      <c r="I38" s="69" t="s">
        <v>40</v>
      </c>
      <c r="J38" s="75">
        <v>20.88</v>
      </c>
      <c r="K38" s="142">
        <v>344607.68999999994</v>
      </c>
      <c r="L38" s="70">
        <f>'[5]УК ЖЭУ-7 2020 год'!$L$49</f>
        <v>777212.04</v>
      </c>
      <c r="M38" s="70">
        <f>'[5]УК ЖЭУ-7 2020 год'!$M$49</f>
        <v>757642.47</v>
      </c>
      <c r="N38" s="70">
        <v>0</v>
      </c>
      <c r="O38" s="86">
        <f t="shared" si="8"/>
        <v>364177.26</v>
      </c>
      <c r="P38" s="86"/>
      <c r="Q38" s="16">
        <v>2051.8599999999988</v>
      </c>
      <c r="R38" s="16">
        <f>4829.87+8400</f>
        <v>13229.869999999999</v>
      </c>
      <c r="S38" s="16">
        <f>4528.01+8050</f>
        <v>12578.01</v>
      </c>
      <c r="T38" s="16">
        <f t="shared" si="3"/>
        <v>2703.7199999999975</v>
      </c>
      <c r="U38" s="15">
        <f>'[3]тариф начисл. 2019 с янв'!$P$44</f>
        <v>2605.34</v>
      </c>
      <c r="V38" s="15">
        <f>'[3]тариф начисл. 2019 с янв'!$O$44+[3]авг!$F$44</f>
        <v>17891.650000000001</v>
      </c>
      <c r="W38" s="15">
        <f>'[3]тариф начисл. 2019 с янв'!$N$44</f>
        <v>227409.31</v>
      </c>
      <c r="X38" s="15"/>
      <c r="Y38" s="15"/>
      <c r="Z38" s="15">
        <f>'[3]тариф начисл. 2019 с янв'!$AC$44</f>
        <v>372.19</v>
      </c>
      <c r="AA38" s="15">
        <f>'[3]тариф начисл. 2019 с янв'!$AD$44+'[3]тариф начисл. 2019 с янв'!$AE$44</f>
        <v>34986.04</v>
      </c>
      <c r="AB38" s="15">
        <f>'[3]тариф начисл. 2019 с янв'!$AA$44</f>
        <v>1488.77</v>
      </c>
      <c r="AC38" s="15">
        <f>'[6]тариф начисл. 2020 с янв'!$AB$44+[6]год!$F$44</f>
        <v>4952.38</v>
      </c>
      <c r="AD38" s="15">
        <f>'[3]тариф начисл. 2019 с янв'!$Z$44</f>
        <v>32752.9</v>
      </c>
      <c r="AE38" s="15">
        <f>'[3]тариф начисл. 2019 с янв'!$V$44</f>
        <v>120590.21</v>
      </c>
      <c r="AF38" s="15"/>
      <c r="AG38" s="15">
        <f>'[3]тариф начисл. 2019 с янв'!$BA$44</f>
        <v>53595.65</v>
      </c>
      <c r="AH38" s="16">
        <f t="shared" si="7"/>
        <v>496644.44000000006</v>
      </c>
      <c r="AI38" s="17">
        <f>'[6]тариф начисл. 2020 с янв'!$AJ$44+[6]год!$R$44</f>
        <v>138554.71000000002</v>
      </c>
      <c r="AJ38" s="17">
        <f>'[3]тариф начисл. 2019 с янв'!$AO$44</f>
        <v>60667.3</v>
      </c>
      <c r="AK38" s="17">
        <f>'[3]тариф начисл. 2019 с янв'!$AS$44</f>
        <v>35358.239999999998</v>
      </c>
      <c r="AL38" s="17">
        <f>'[3]тариф начисл. 2019 с янв'!$AW$44</f>
        <v>31264.13</v>
      </c>
      <c r="AM38" s="17">
        <f>'[3]тариф начисл. 2019 с янв'!$AZ$44</f>
        <v>54340.03</v>
      </c>
      <c r="AN38" s="16">
        <f t="shared" si="4"/>
        <v>320184.41000000003</v>
      </c>
      <c r="AO38" s="16">
        <f t="shared" si="9"/>
        <v>816828.85000000009</v>
      </c>
      <c r="AP38" s="247">
        <f t="shared" si="5"/>
        <v>46608.370000000119</v>
      </c>
      <c r="AQ38" s="22">
        <f t="shared" si="6"/>
        <v>770220.48</v>
      </c>
    </row>
    <row r="39" spans="1:43">
      <c r="A39" s="4"/>
      <c r="B39" s="31"/>
      <c r="C39" s="145">
        <v>36</v>
      </c>
      <c r="D39" s="84" t="s">
        <v>7</v>
      </c>
      <c r="E39" s="83" t="s">
        <v>81</v>
      </c>
      <c r="F39" s="74" t="s">
        <v>32</v>
      </c>
      <c r="G39" s="73">
        <v>1968</v>
      </c>
      <c r="H39" s="68">
        <f>'[2]тариф начисл. 2018 с янв'!$I$44</f>
        <v>1393.9</v>
      </c>
      <c r="I39" s="85" t="s">
        <v>40</v>
      </c>
      <c r="J39" s="75">
        <v>33.19</v>
      </c>
      <c r="K39" s="142">
        <v>157844.56999999995</v>
      </c>
      <c r="L39" s="70">
        <f>'[5]УК ЖЭУ-7 2020 год'!$L$48</f>
        <v>543612</v>
      </c>
      <c r="M39" s="70">
        <f>'[5]УК ЖЭУ-7 2020 год'!$M$48</f>
        <v>513493.79</v>
      </c>
      <c r="N39" s="70">
        <v>0</v>
      </c>
      <c r="O39" s="86">
        <f t="shared" si="8"/>
        <v>187962.77999999997</v>
      </c>
      <c r="P39" s="86"/>
      <c r="Q39" s="16">
        <v>0</v>
      </c>
      <c r="R39" s="16">
        <v>0</v>
      </c>
      <c r="S39" s="16">
        <v>0</v>
      </c>
      <c r="T39" s="16">
        <v>0</v>
      </c>
      <c r="U39" s="15">
        <f>'[3]тариф начисл. 2019 с янв'!$P$45</f>
        <v>1170.8800000000001</v>
      </c>
      <c r="V39" s="15">
        <f>'[3]тариф начисл. 2019 с янв'!$O$45+[3]авг!$F$45</f>
        <v>28719.02</v>
      </c>
      <c r="W39" s="15">
        <f>'[3]тариф начисл. 2019 с янв'!$N$45</f>
        <v>157733.72</v>
      </c>
      <c r="X39" s="15"/>
      <c r="Y39" s="15"/>
      <c r="Z39" s="15">
        <f>'[3]тариф начисл. 2019 с янв'!$AC$45</f>
        <v>167.27</v>
      </c>
      <c r="AA39" s="15">
        <f>'[3]тариф начисл. 2019 с янв'!$AD$45+'[3]тариф начисл. 2019 с янв'!$AE$45</f>
        <v>35126.28</v>
      </c>
      <c r="AB39" s="15">
        <f>'[3]тариф начисл. 2019 с янв'!$AA$45</f>
        <v>669.07</v>
      </c>
      <c r="AC39" s="15">
        <f>'[3]тариф начисл. 2019 с янв'!$AB$45+[6]год!$F$45</f>
        <v>501.8</v>
      </c>
      <c r="AD39" s="15">
        <f>'[3]тариф начисл. 2019 с янв'!$Z$45</f>
        <v>14719.58</v>
      </c>
      <c r="AE39" s="15">
        <f>'[3]тариф начисл. 2019 с янв'!$V$45</f>
        <v>85139.41</v>
      </c>
      <c r="AF39" s="15"/>
      <c r="AG39" s="15">
        <f>'[3]тариф начисл. 2019 с янв'!$BA$45</f>
        <v>36798.959999999999</v>
      </c>
      <c r="AH39" s="16">
        <f t="shared" si="7"/>
        <v>360745.99</v>
      </c>
      <c r="AI39" s="17">
        <f>'[6]тариф начисл. 2020 с янв'!$AJ$45</f>
        <v>78783.23</v>
      </c>
      <c r="AJ39" s="17">
        <f>'[3]тариф начисл. 2019 с янв'!$AO$45</f>
        <v>42820.61</v>
      </c>
      <c r="AK39" s="17">
        <f>'[3]тариф начисл. 2019 с янв'!$AS$45</f>
        <v>41482.46</v>
      </c>
      <c r="AL39" s="17">
        <f>'[3]тариф начисл. 2019 с янв'!$AW$45</f>
        <v>20573.96</v>
      </c>
      <c r="AM39" s="17">
        <f>'[3]тариф начисл. 2019 с янв'!$AZ$45</f>
        <v>37300.76</v>
      </c>
      <c r="AN39" s="16">
        <f t="shared" si="4"/>
        <v>220961.02</v>
      </c>
      <c r="AO39" s="16">
        <f t="shared" si="9"/>
        <v>581707.01</v>
      </c>
      <c r="AP39" s="249">
        <f t="shared" si="5"/>
        <v>68213.22000000003</v>
      </c>
      <c r="AQ39" s="22">
        <f t="shared" si="6"/>
        <v>513493.79</v>
      </c>
    </row>
    <row r="40" spans="1:43">
      <c r="A40" s="4">
        <v>35</v>
      </c>
      <c r="B40" s="21">
        <v>35</v>
      </c>
      <c r="C40" s="145">
        <v>37</v>
      </c>
      <c r="D40" s="84" t="s">
        <v>7</v>
      </c>
      <c r="E40" s="74" t="s">
        <v>22</v>
      </c>
      <c r="F40" s="74" t="s">
        <v>33</v>
      </c>
      <c r="G40" s="74">
        <v>1983</v>
      </c>
      <c r="H40" s="68">
        <f>'[3]тариф начисл. 2019 с янв'!$I$46</f>
        <v>2246</v>
      </c>
      <c r="I40" s="69" t="s">
        <v>40</v>
      </c>
      <c r="J40" s="75">
        <v>20.88</v>
      </c>
      <c r="K40" s="142">
        <v>174170.51</v>
      </c>
      <c r="L40" s="70">
        <f>'[5]УК ЖЭУ-7 2020 год'!$L$50</f>
        <v>545244</v>
      </c>
      <c r="M40" s="70">
        <f>'[5]УК ЖЭУ-7 2020 год'!$M$50</f>
        <v>610436.51</v>
      </c>
      <c r="N40" s="70">
        <v>0</v>
      </c>
      <c r="O40" s="86">
        <f t="shared" si="8"/>
        <v>108978</v>
      </c>
      <c r="P40" s="86"/>
      <c r="Q40" s="16">
        <v>37289.550000000003</v>
      </c>
      <c r="R40" s="16">
        <f>3392.42+8400+17364.48</f>
        <v>29156.9</v>
      </c>
      <c r="S40" s="16">
        <f>3180.39+8050+0</f>
        <v>11230.39</v>
      </c>
      <c r="T40" s="16">
        <f t="shared" si="3"/>
        <v>55216.060000000012</v>
      </c>
      <c r="U40" s="15">
        <f>'[3]тариф начисл. 2019 с янв'!$P$46</f>
        <v>1886.64</v>
      </c>
      <c r="V40" s="15">
        <f>'[3]тариф начисл. 2019 с янв'!$O$46+[3]авг!$F$46</f>
        <v>41242.230000000003</v>
      </c>
      <c r="W40" s="15">
        <f>'[3]тариф начисл. 2019 с янв'!$N$46</f>
        <v>164676.72</v>
      </c>
      <c r="X40" s="15"/>
      <c r="Y40" s="15"/>
      <c r="Z40" s="15">
        <f>'[3]тариф начисл. 2019 с янв'!$AC$46</f>
        <v>269.52</v>
      </c>
      <c r="AA40" s="15">
        <f>'[3]тариф начисл. 2019 с янв'!$AD$46+'[3]тариф начисл. 2019 с янв'!$AE$46</f>
        <v>25334.880000000001</v>
      </c>
      <c r="AB40" s="15">
        <f>'[3]тариф начисл. 2019 с янв'!$AA$46</f>
        <v>1078.08</v>
      </c>
      <c r="AC40" s="15">
        <f>'[3]тариф начисл. 2019 с янв'!$AB$46+[6]год!$F$46</f>
        <v>2107.16</v>
      </c>
      <c r="AD40" s="15">
        <f>'[3]тариф начисл. 2019 с янв'!$Z$46</f>
        <v>23717.759999999998</v>
      </c>
      <c r="AE40" s="15">
        <f>'[3]тариф начисл. 2019 с янв'!$V$46</f>
        <v>87324.479999999996</v>
      </c>
      <c r="AF40" s="15"/>
      <c r="AG40" s="15">
        <f>'[3]тариф начисл. 2019 с янв'!$BA$46</f>
        <v>38810.879999999997</v>
      </c>
      <c r="AH40" s="16">
        <f t="shared" si="7"/>
        <v>386448.35</v>
      </c>
      <c r="AI40" s="17">
        <f>'[3]тариф начисл. 2019 с янв'!$AJ$46</f>
        <v>83820.72</v>
      </c>
      <c r="AJ40" s="17">
        <f>'[3]тариф начисл. 2019 с янв'!$AO$46</f>
        <v>43931.76</v>
      </c>
      <c r="AK40" s="17">
        <f>'[3]тариф начисл. 2019 с янв'!$AS$46</f>
        <v>25604.400000000001</v>
      </c>
      <c r="AL40" s="17">
        <f>'[3]тариф начисл. 2019 с янв'!$AW$46</f>
        <v>22639.68</v>
      </c>
      <c r="AM40" s="17">
        <f>'[3]тариф начисл. 2019 с янв'!$AZ$46+[6]дек!$AR$46+[6]дек!$AG$46</f>
        <v>63741.919999999998</v>
      </c>
      <c r="AN40" s="16">
        <f t="shared" si="4"/>
        <v>239738.47999999998</v>
      </c>
      <c r="AO40" s="16">
        <f t="shared" si="9"/>
        <v>626186.82999999996</v>
      </c>
      <c r="AP40" s="254">
        <f t="shared" si="5"/>
        <v>4519.9299999999494</v>
      </c>
      <c r="AQ40" s="22">
        <f t="shared" si="6"/>
        <v>621666.9</v>
      </c>
    </row>
    <row r="41" spans="1:43">
      <c r="A41" s="4">
        <v>36</v>
      </c>
      <c r="B41" s="21">
        <v>36</v>
      </c>
      <c r="C41" s="145">
        <v>38</v>
      </c>
      <c r="D41" s="84" t="s">
        <v>6</v>
      </c>
      <c r="E41" s="73">
        <v>4</v>
      </c>
      <c r="F41" s="73" t="s">
        <v>65</v>
      </c>
      <c r="G41" s="74">
        <v>1968</v>
      </c>
      <c r="H41" s="68">
        <f>'[2]тариф начисл. 2018 с янв'!$I$46</f>
        <v>4409.2</v>
      </c>
      <c r="I41" s="69" t="s">
        <v>40</v>
      </c>
      <c r="J41" s="75">
        <v>20.88</v>
      </c>
      <c r="K41" s="142">
        <v>215025.73999999982</v>
      </c>
      <c r="L41" s="70">
        <f>'[5]УК ЖЭУ-7 2020 год'!$L$69</f>
        <v>1104769.8</v>
      </c>
      <c r="M41" s="70">
        <f>'[5]УК ЖЭУ-7 2020 год'!$M$69</f>
        <v>1090736.94</v>
      </c>
      <c r="N41" s="70">
        <v>0</v>
      </c>
      <c r="O41" s="86">
        <f t="shared" si="8"/>
        <v>229058.59999999986</v>
      </c>
      <c r="P41" s="86"/>
      <c r="Q41" s="16">
        <v>5337.8099999999977</v>
      </c>
      <c r="R41" s="16">
        <f>15712.08+4956.45+6855.43+4956.45</f>
        <v>32480.41</v>
      </c>
      <c r="S41" s="16">
        <f>14730.07+4233.87+712.86+4233.87</f>
        <v>23910.67</v>
      </c>
      <c r="T41" s="16">
        <f t="shared" si="3"/>
        <v>13907.550000000003</v>
      </c>
      <c r="U41" s="15">
        <f>'[3]тариф начисл. 2019 с янв'!$P$47</f>
        <v>3703.73</v>
      </c>
      <c r="V41" s="15">
        <f>'[3]тариф начисл. 2019 с янв'!$O$47+[3]авг!$F$47</f>
        <v>55762.75</v>
      </c>
      <c r="W41" s="15">
        <f>'[3]тариф начисл. 2019 с янв'!$N$47</f>
        <v>323282.53999999998</v>
      </c>
      <c r="X41" s="15"/>
      <c r="Y41" s="15"/>
      <c r="Z41" s="15">
        <f>'[3]тариф начисл. 2019 с янв'!$AC$47</f>
        <v>529.1</v>
      </c>
      <c r="AA41" s="15">
        <f>'[3]тариф начисл. 2019 с янв'!$AD$47+'[3]тариф начисл. 2019 с янв'!$AE$47</f>
        <v>49735.78</v>
      </c>
      <c r="AB41" s="15">
        <f>'[3]тариф начисл. 2019 с янв'!$AA$47</f>
        <v>2116.42</v>
      </c>
      <c r="AC41" s="15">
        <f>'[6]тариф начисл. 2020 с янв'!$AB$47+[6]год!$F$47</f>
        <v>3423.91</v>
      </c>
      <c r="AD41" s="15">
        <f>'[3]тариф начисл. 2019 с янв'!$Z$47</f>
        <v>46561.15</v>
      </c>
      <c r="AE41" s="15">
        <f>'[3]тариф начисл. 2019 с янв'!$V$47</f>
        <v>171429.7</v>
      </c>
      <c r="AF41" s="15"/>
      <c r="AG41" s="15">
        <f>'[3]тариф начисл. 2019 с янв'!$BA$47</f>
        <v>76190.98</v>
      </c>
      <c r="AH41" s="16">
        <f t="shared" si="7"/>
        <v>732736.05999999982</v>
      </c>
      <c r="AI41" s="17">
        <f>'[6]тариф начисл. 2020 с янв'!$AJ$47</f>
        <v>164551.34</v>
      </c>
      <c r="AJ41" s="17">
        <f>'[3]тариф начисл. 2019 с янв'!$AO$47</f>
        <v>86243.95</v>
      </c>
      <c r="AK41" s="17">
        <f>'[3]тариф начисл. 2019 с янв'!$AS$47</f>
        <v>50264.88</v>
      </c>
      <c r="AL41" s="17">
        <f>'[3]тариф начисл. 2019 с янв'!$AW$47</f>
        <v>44444.74</v>
      </c>
      <c r="AM41" s="17">
        <f>'[3]тариф начисл. 2019 с янв'!$AZ$47</f>
        <v>77249.179999999993</v>
      </c>
      <c r="AN41" s="16">
        <f t="shared" si="4"/>
        <v>422754.08999999997</v>
      </c>
      <c r="AO41" s="16">
        <f t="shared" si="9"/>
        <v>1155490.1499999999</v>
      </c>
      <c r="AP41" s="249">
        <f t="shared" si="5"/>
        <v>40842.539999999964</v>
      </c>
      <c r="AQ41" s="22">
        <f t="shared" si="6"/>
        <v>1114647.6099999999</v>
      </c>
    </row>
    <row r="42" spans="1:43">
      <c r="A42" s="4">
        <v>37</v>
      </c>
      <c r="B42" s="20">
        <v>37</v>
      </c>
      <c r="C42" s="145">
        <v>39</v>
      </c>
      <c r="D42" s="84" t="s">
        <v>6</v>
      </c>
      <c r="E42" s="73">
        <v>6</v>
      </c>
      <c r="F42" s="73" t="s">
        <v>65</v>
      </c>
      <c r="G42" s="74">
        <v>1968</v>
      </c>
      <c r="H42" s="68">
        <f>'[2]тариф начисл. 2018 с янв'!$I$47</f>
        <v>2688.6</v>
      </c>
      <c r="I42" s="69" t="s">
        <v>40</v>
      </c>
      <c r="J42" s="75">
        <v>20.88</v>
      </c>
      <c r="K42" s="142">
        <v>145897.19000000006</v>
      </c>
      <c r="L42" s="70">
        <f>'[5]УК ЖЭУ-7 2020 год'!$L$73</f>
        <v>650904.84</v>
      </c>
      <c r="M42" s="70">
        <f>'[5]УК ЖЭУ-7 2020 год'!$M$73</f>
        <v>634401.94999999995</v>
      </c>
      <c r="N42" s="70">
        <v>0</v>
      </c>
      <c r="O42" s="86">
        <f t="shared" si="8"/>
        <v>162400.08000000007</v>
      </c>
      <c r="P42" s="86"/>
      <c r="Q42" s="16">
        <v>22787.79</v>
      </c>
      <c r="R42" s="16">
        <f>9366.03+4956.45+399.86+24880.04</f>
        <v>39602.380000000005</v>
      </c>
      <c r="S42" s="16">
        <f>8780.65+4233.87+4798.32+1801.2</f>
        <v>19614.04</v>
      </c>
      <c r="T42" s="16">
        <f t="shared" si="3"/>
        <v>42776.130000000005</v>
      </c>
      <c r="U42" s="15">
        <f>'[3]тариф начисл. 2019 с янв'!$P$48</f>
        <v>2258.42</v>
      </c>
      <c r="V42" s="15">
        <f>'[3]тариф начисл. 2019 с янв'!$O$48+[3]авг!$F$48</f>
        <v>60403.24</v>
      </c>
      <c r="W42" s="15">
        <f>'[3]тариф начисл. 2019 с янв'!$N$48</f>
        <v>197128.15</v>
      </c>
      <c r="X42" s="15"/>
      <c r="Y42" s="15"/>
      <c r="Z42" s="15">
        <f>'[3]тариф начисл. 2019 с янв'!$AC$48</f>
        <v>322.63</v>
      </c>
      <c r="AA42" s="15">
        <f>'[3]тариф начисл. 2019 с янв'!$AD$48+'[3]тариф начисл. 2019 с янв'!$AE$48</f>
        <v>30327.4</v>
      </c>
      <c r="AB42" s="15">
        <f>'[3]тариф начисл. 2019 с янв'!$AA$48</f>
        <v>1290.53</v>
      </c>
      <c r="AC42" s="15">
        <f>'[6]тариф начисл. 2020 с янв'!$AB$48+[6]год!$F$48</f>
        <v>2083.34</v>
      </c>
      <c r="AD42" s="15">
        <f>'[3]тариф начисл. 2019 с янв'!$Z$48</f>
        <v>28391.62</v>
      </c>
      <c r="AE42" s="15">
        <f>'[3]тариф начисл. 2019 с янв'!$V$48</f>
        <v>104532.77</v>
      </c>
      <c r="AF42" s="15"/>
      <c r="AG42" s="15">
        <f>'[3]тариф начисл. 2019 с янв'!$BA$48</f>
        <v>46459.01</v>
      </c>
      <c r="AH42" s="16">
        <f t="shared" si="7"/>
        <v>473197.1100000001</v>
      </c>
      <c r="AI42" s="17">
        <f>'[3]тариф начисл. 2019 с янв'!$AJ$48</f>
        <v>100338.55</v>
      </c>
      <c r="AJ42" s="17">
        <f>'[3]тариф начисл. 2019 с янв'!$AO$48</f>
        <v>52589.02</v>
      </c>
      <c r="AK42" s="17">
        <f>'[3]тариф начисл. 2019 с янв'!$AS$48</f>
        <v>30650.04</v>
      </c>
      <c r="AL42" s="17">
        <f>'[3]тариф начисл. 2019 с янв'!$AW$48</f>
        <v>27101.09</v>
      </c>
      <c r="AM42" s="17">
        <f>'[3]тариф начисл. 2019 с янв'!$AZ$48</f>
        <v>47104.27</v>
      </c>
      <c r="AN42" s="16">
        <f t="shared" si="4"/>
        <v>257782.97</v>
      </c>
      <c r="AO42" s="16">
        <f t="shared" si="9"/>
        <v>730980.08000000007</v>
      </c>
      <c r="AP42" s="247">
        <f t="shared" si="5"/>
        <v>76964.090000000113</v>
      </c>
      <c r="AQ42" s="22">
        <f t="shared" si="6"/>
        <v>654015.99</v>
      </c>
    </row>
    <row r="43" spans="1:43">
      <c r="A43" s="4"/>
      <c r="B43" s="20"/>
      <c r="C43" s="144">
        <v>40</v>
      </c>
      <c r="D43" s="84" t="s">
        <v>6</v>
      </c>
      <c r="E43" s="83" t="s">
        <v>104</v>
      </c>
      <c r="F43" s="73" t="s">
        <v>65</v>
      </c>
      <c r="G43" s="74">
        <v>1994</v>
      </c>
      <c r="H43" s="68">
        <f>'[2]тариф начисл. 2018 с янв'!$I$48</f>
        <v>1587.5</v>
      </c>
      <c r="I43" s="69" t="s">
        <v>40</v>
      </c>
      <c r="J43" s="139" t="s">
        <v>199</v>
      </c>
      <c r="K43" s="142">
        <v>65216.71</v>
      </c>
      <c r="L43" s="201">
        <v>564825.84</v>
      </c>
      <c r="M43" s="200">
        <v>564196.36</v>
      </c>
      <c r="N43" s="70">
        <v>0</v>
      </c>
      <c r="O43" s="86">
        <f t="shared" si="8"/>
        <v>65846.189999999944</v>
      </c>
      <c r="P43" s="86"/>
      <c r="Q43" s="16">
        <v>0</v>
      </c>
      <c r="R43" s="16">
        <v>0</v>
      </c>
      <c r="S43" s="16">
        <v>0</v>
      </c>
      <c r="T43" s="16">
        <f t="shared" si="3"/>
        <v>0</v>
      </c>
      <c r="U43" s="15">
        <f>'[3]тариф начисл. 2019 с янв'!$P$49</f>
        <v>1333.5</v>
      </c>
      <c r="V43" s="15">
        <f>'[6]тариф начисл. 2020 с янв'!$O$49+[6]авг!$F$49</f>
        <v>2476.5</v>
      </c>
      <c r="W43" s="15">
        <f>'[3]тариф начисл. 2019 с янв'!$N$49</f>
        <v>116395.5</v>
      </c>
      <c r="X43" s="15"/>
      <c r="Y43" s="15">
        <f>'[3]тариф начисл. 2019 с янв'!$BE$49+[6]год!$Z$49</f>
        <v>151452.72</v>
      </c>
      <c r="Z43" s="15">
        <f>'[3]тариф начисл. 2019 с янв'!$AC$49</f>
        <v>190.5</v>
      </c>
      <c r="AA43" s="15">
        <f>'[3]тариф начисл. 2019 с янв'!$AD$49+'[3]тариф начисл. 2019 с янв'!$AE$49+[6]год!$I$49</f>
        <v>23465</v>
      </c>
      <c r="AB43" s="15">
        <f>'[3]тариф начисл. 2019 с янв'!$AA$49</f>
        <v>762</v>
      </c>
      <c r="AC43" s="15">
        <f>'[3]тариф начисл. 2019 с янв'!$AB$49+[6]год!$F$49</f>
        <v>1348.8400000000001</v>
      </c>
      <c r="AD43" s="15">
        <f>'[3]тариф начисл. 2019 с янв'!$Z$49</f>
        <v>16764</v>
      </c>
      <c r="AE43" s="15">
        <f>'[3]тариф начисл. 2019 с янв'!$V$49</f>
        <v>61722</v>
      </c>
      <c r="AF43" s="15"/>
      <c r="AG43" s="15">
        <f>'[3]тариф начисл. 2019 с янв'!$BA$49</f>
        <v>27432</v>
      </c>
      <c r="AH43" s="16">
        <f>SUM(U43:AG43)</f>
        <v>403342.56</v>
      </c>
      <c r="AI43" s="17">
        <f>'[6]тариф начисл. 2020 с янв'!$AJ$49+[6]год!$R$49</f>
        <v>66798.5</v>
      </c>
      <c r="AJ43" s="17">
        <f>'[3]тариф начисл. 2019 с янв'!$AO$49+[6]дек!$Y$49</f>
        <v>45065.5</v>
      </c>
      <c r="AK43" s="17">
        <f>'[3]тариф начисл. 2019 с янв'!$AS$49</f>
        <v>34099.5</v>
      </c>
      <c r="AL43" s="17">
        <f>'[3]тариф начисл. 2019 с янв'!$AW$49</f>
        <v>16192.5</v>
      </c>
      <c r="AM43" s="17">
        <f>'[3]тариф начисл. 2019 с янв'!$AZ$49</f>
        <v>27813</v>
      </c>
      <c r="AN43" s="16">
        <f t="shared" si="4"/>
        <v>189969</v>
      </c>
      <c r="AO43" s="16">
        <f t="shared" si="9"/>
        <v>593311.56000000006</v>
      </c>
      <c r="AP43" s="249">
        <f t="shared" si="5"/>
        <v>29115.20000000007</v>
      </c>
      <c r="AQ43" s="22">
        <f t="shared" si="6"/>
        <v>564196.36</v>
      </c>
    </row>
    <row r="44" spans="1:43">
      <c r="A44" s="4"/>
      <c r="B44" s="20"/>
      <c r="C44" s="144">
        <v>40</v>
      </c>
      <c r="D44" s="84" t="s">
        <v>6</v>
      </c>
      <c r="E44" s="83" t="s">
        <v>105</v>
      </c>
      <c r="F44" s="83" t="s">
        <v>106</v>
      </c>
      <c r="G44" s="74">
        <v>1992</v>
      </c>
      <c r="H44" s="68">
        <f>'[3]тариф начисл. 2019 с янв'!$I$50</f>
        <v>2810.3</v>
      </c>
      <c r="I44" s="69" t="s">
        <v>40</v>
      </c>
      <c r="J44" s="75">
        <v>24.2</v>
      </c>
      <c r="K44" s="142">
        <v>158933.4700000002</v>
      </c>
      <c r="L44" s="70">
        <v>620294.40000000002</v>
      </c>
      <c r="M44" s="70">
        <v>596540.51</v>
      </c>
      <c r="N44" s="70">
        <v>0</v>
      </c>
      <c r="O44" s="86">
        <f t="shared" si="8"/>
        <v>182687.36000000022</v>
      </c>
      <c r="P44" s="86"/>
      <c r="Q44" s="16">
        <v>26397.25</v>
      </c>
      <c r="R44" s="16">
        <f>4956.45+94292.88+105384.36</f>
        <v>204633.69</v>
      </c>
      <c r="S44" s="16">
        <f>4233.87+94292.88+105384.36</f>
        <v>203911.11</v>
      </c>
      <c r="T44" s="16">
        <f t="shared" si="3"/>
        <v>27119.830000000016</v>
      </c>
      <c r="U44" s="15">
        <f>'[3]тариф начисл. 2019 с янв'!$P$50</f>
        <v>2360.65</v>
      </c>
      <c r="V44" s="15">
        <f>'[6]тариф начисл. 2020 с янв'!$O$50+[6]авг!$F$50</f>
        <v>4384.07</v>
      </c>
      <c r="W44" s="15">
        <f>'[3]тариф начисл. 2019 с янв'!$N$50</f>
        <v>206051.20000000001</v>
      </c>
      <c r="X44" s="15"/>
      <c r="Y44" s="15"/>
      <c r="Z44" s="15">
        <f>'[3]тариф начисл. 2019 с янв'!$AC$50</f>
        <v>337.24</v>
      </c>
      <c r="AA44" s="15">
        <f>'[3]тариф начисл. 2019 с янв'!$AD$50+'[3]тариф начисл. 2019 с янв'!$AE$50</f>
        <v>31700.18</v>
      </c>
      <c r="AB44" s="15">
        <f>'[3]тариф начисл. 2019 с янв'!$AA$50</f>
        <v>1348.94</v>
      </c>
      <c r="AC44" s="15">
        <f>'[3]тариф начисл. 2019 с янв'!$AB$50</f>
        <v>1011.71</v>
      </c>
      <c r="AD44" s="15">
        <f>'[3]тариф начисл. 2019 с янв'!$Z$50</f>
        <v>29676.77</v>
      </c>
      <c r="AE44" s="15">
        <f>'[3]тариф начисл. 2019 с янв'!$V$50</f>
        <v>192561.76</v>
      </c>
      <c r="AF44" s="15"/>
      <c r="AG44" s="15">
        <f>'[3]тариф начисл. 2019 с янв'!$BA$50</f>
        <v>48561.98</v>
      </c>
      <c r="AH44" s="16">
        <f t="shared" si="7"/>
        <v>517994.5</v>
      </c>
      <c r="AI44" s="17">
        <f>'[3]тариф начисл. 2019 с янв'!$AJ$50</f>
        <v>104880.4</v>
      </c>
      <c r="AJ44" s="17">
        <f>'[3]тариф начисл. 2019 с янв'!$AO$50</f>
        <v>54969.47</v>
      </c>
      <c r="AK44" s="17">
        <f>'[3]тариф начисл. 2019 с янв'!$AS$50</f>
        <v>60365.24</v>
      </c>
      <c r="AL44" s="17">
        <f>'[3]тариф начисл. 2019 с янв'!$AW$50</f>
        <v>28665.06</v>
      </c>
      <c r="AM44" s="17">
        <f>'[3]тариф начисл. 2019 с янв'!$AZ$50</f>
        <v>49236.46</v>
      </c>
      <c r="AN44" s="16">
        <f t="shared" si="4"/>
        <v>298116.63</v>
      </c>
      <c r="AO44" s="16">
        <f t="shared" si="9"/>
        <v>816111.13</v>
      </c>
      <c r="AP44" s="247">
        <f t="shared" si="5"/>
        <v>15659.510000000009</v>
      </c>
      <c r="AQ44" s="22">
        <f t="shared" si="6"/>
        <v>800451.62</v>
      </c>
    </row>
    <row r="45" spans="1:43">
      <c r="A45" s="4"/>
      <c r="B45" s="20"/>
      <c r="C45" s="144">
        <v>41</v>
      </c>
      <c r="D45" s="84" t="s">
        <v>6</v>
      </c>
      <c r="E45" s="83" t="s">
        <v>80</v>
      </c>
      <c r="F45" s="73" t="s">
        <v>65</v>
      </c>
      <c r="G45" s="74">
        <v>1994</v>
      </c>
      <c r="H45" s="68">
        <f>'[3]тариф начисл. 2019 с янв'!$I$51</f>
        <v>1979.4</v>
      </c>
      <c r="I45" s="69" t="s">
        <v>40</v>
      </c>
      <c r="J45" s="75">
        <v>21.73</v>
      </c>
      <c r="K45" s="142">
        <v>49548.749999999767</v>
      </c>
      <c r="L45" s="70">
        <f>'[5]УК ЖЭУ-7 2020 год'!$L$74</f>
        <v>516148.92</v>
      </c>
      <c r="M45" s="70">
        <f>'[5]УК ЖЭУ-7 2020 год'!$M$74</f>
        <v>516275.81</v>
      </c>
      <c r="N45" s="70">
        <v>0</v>
      </c>
      <c r="O45" s="86">
        <f t="shared" si="8"/>
        <v>49421.859999999695</v>
      </c>
      <c r="P45" s="86"/>
      <c r="Q45" s="16">
        <v>0</v>
      </c>
      <c r="R45" s="16">
        <v>0</v>
      </c>
      <c r="S45" s="16">
        <v>0</v>
      </c>
      <c r="T45" s="16">
        <f t="shared" si="3"/>
        <v>0</v>
      </c>
      <c r="U45" s="15">
        <f>'[3]тариф начисл. 2019 с янв'!$P$51</f>
        <v>1662.7</v>
      </c>
      <c r="V45" s="15">
        <f>'[3]тариф начисл. 2019 с янв'!$O$51+[3]авг!$F$51</f>
        <v>11001.8</v>
      </c>
      <c r="W45" s="15">
        <f>'[3]тариф начисл. 2019 с янв'!$N$51</f>
        <v>145129.60999999999</v>
      </c>
      <c r="X45" s="15"/>
      <c r="Y45" s="15"/>
      <c r="Z45" s="15">
        <f>'[3]тариф начисл. 2019 с янв'!$AC$51</f>
        <v>237.53</v>
      </c>
      <c r="AA45" s="15">
        <f>'[3]тариф начисл. 2019 с янв'!$AD$51+'[3]тариф начисл. 2019 с янв'!$AE$51</f>
        <v>22327.64</v>
      </c>
      <c r="AB45" s="15">
        <f>'[3]тариф начисл. 2019 с янв'!$AA$51</f>
        <v>950.11</v>
      </c>
      <c r="AC45" s="15">
        <f>'[3]тариф начисл. 2019 с янв'!$AB$51+[6]год!$F$51</f>
        <v>712.58</v>
      </c>
      <c r="AD45" s="15">
        <f>'[3]тариф начисл. 2019 с янв'!$Z$51</f>
        <v>20902.46</v>
      </c>
      <c r="AE45" s="15">
        <f>'[3]тариф начисл. 2019 с янв'!$V$51</f>
        <v>76959.070000000007</v>
      </c>
      <c r="AF45" s="15"/>
      <c r="AG45" s="15">
        <f>'[3]тариф начисл. 2019 с янв'!$BA$51</f>
        <v>34204.03</v>
      </c>
      <c r="AH45" s="16">
        <f t="shared" si="7"/>
        <v>314087.52999999991</v>
      </c>
      <c r="AI45" s="17">
        <f>'[3]тариф начисл. 2019 с янв'!$AJ$51+[6]год!$R$51</f>
        <v>126881.21</v>
      </c>
      <c r="AJ45" s="17">
        <f>'[3]тариф начисл. 2019 с янв'!$AO$51</f>
        <v>38717.06</v>
      </c>
      <c r="AK45" s="17">
        <f>'[3]тариф начисл. 2019 с янв'!$AS$51</f>
        <v>42517.51</v>
      </c>
      <c r="AL45" s="17">
        <f>'[3]тариф начисл. 2019 с янв'!$AW$51</f>
        <v>20189.88</v>
      </c>
      <c r="AM45" s="17">
        <f>'[3]тариф начисл. 2019 с янв'!$AZ$51</f>
        <v>34679.089999999997</v>
      </c>
      <c r="AN45" s="16">
        <f t="shared" si="4"/>
        <v>262984.75</v>
      </c>
      <c r="AO45" s="16">
        <f t="shared" si="9"/>
        <v>577072.27999999991</v>
      </c>
      <c r="AP45" s="257">
        <f t="shared" si="5"/>
        <v>60796.469999999914</v>
      </c>
      <c r="AQ45" s="22">
        <f t="shared" si="6"/>
        <v>516275.81</v>
      </c>
    </row>
    <row r="46" spans="1:43">
      <c r="A46" s="4">
        <v>38</v>
      </c>
      <c r="B46" s="30">
        <v>38</v>
      </c>
      <c r="C46" s="144">
        <v>42</v>
      </c>
      <c r="D46" s="84" t="s">
        <v>6</v>
      </c>
      <c r="E46" s="73">
        <v>8</v>
      </c>
      <c r="F46" s="73" t="s">
        <v>65</v>
      </c>
      <c r="G46" s="74">
        <v>1968</v>
      </c>
      <c r="H46" s="68">
        <f>'[2]тариф начисл. 2018 с янв'!$I$51</f>
        <v>2732.4</v>
      </c>
      <c r="I46" s="69" t="s">
        <v>40</v>
      </c>
      <c r="J46" s="75">
        <v>20.88</v>
      </c>
      <c r="K46" s="142">
        <v>380314.02</v>
      </c>
      <c r="L46" s="70">
        <f>'[5]УК ЖЭУ-7 2020 год'!$L$76</f>
        <v>685478.06</v>
      </c>
      <c r="M46" s="70">
        <f>'[5]УК ЖЭУ-7 2020 год'!$M$76</f>
        <v>621610.17000000004</v>
      </c>
      <c r="N46" s="70">
        <v>0</v>
      </c>
      <c r="O46" s="86">
        <f t="shared" si="8"/>
        <v>444181.91000000003</v>
      </c>
      <c r="P46" s="86"/>
      <c r="Q46" s="16">
        <v>3129.09</v>
      </c>
      <c r="R46" s="16">
        <f>9736.62+4956.45+4798.32</f>
        <v>19491.39</v>
      </c>
      <c r="S46" s="16">
        <f>9128.08+4233.87+998.6</f>
        <v>14360.550000000001</v>
      </c>
      <c r="T46" s="16">
        <f t="shared" ref="T46:T73" si="10">Q46+R46-S46</f>
        <v>8259.9299999999985</v>
      </c>
      <c r="U46" s="15">
        <f>'[3]тариф начисл. 2019 с янв'!$P$52</f>
        <v>2295.2199999999998</v>
      </c>
      <c r="V46" s="15">
        <f>'[3]тариф начисл. 2019 с янв'!$O$52+[3]авг!$F$52</f>
        <v>43442.81</v>
      </c>
      <c r="W46" s="15">
        <f>'[3]тариф начисл. 2019 с янв'!$N$52</f>
        <v>200339.57</v>
      </c>
      <c r="X46" s="15"/>
      <c r="Y46" s="15"/>
      <c r="Z46" s="15">
        <f>'[3]тариф начисл. 2019 с янв'!$AC$52</f>
        <v>327.89</v>
      </c>
      <c r="AA46" s="15">
        <f>'[3]тариф начисл. 2019 с янв'!$AD$52+'[3]тариф начисл. 2019 с янв'!$AE$52</f>
        <v>30821.48</v>
      </c>
      <c r="AB46" s="15">
        <f>'[3]тариф начисл. 2019 с янв'!$AA$52</f>
        <v>1311.55</v>
      </c>
      <c r="AC46" s="15">
        <f>'[6]тариф начисл. 2020 с янв'!$AB$52+[6]год!$F$52</f>
        <v>2931.66</v>
      </c>
      <c r="AD46" s="15">
        <f>'[3]тариф начисл. 2019 с янв'!$Z$52</f>
        <v>28854.14</v>
      </c>
      <c r="AE46" s="15">
        <f>'[3]тариф начисл. 2019 с янв'!$V$52</f>
        <v>106235.71</v>
      </c>
      <c r="AF46" s="15"/>
      <c r="AG46" s="15">
        <f>'[3]тариф начисл. 2019 с янв'!$BA$52</f>
        <v>47215.87</v>
      </c>
      <c r="AH46" s="16">
        <f t="shared" si="7"/>
        <v>463775.9</v>
      </c>
      <c r="AI46" s="17">
        <f>'[3]тариф начисл. 2019 с янв'!$AJ$52</f>
        <v>101973.17</v>
      </c>
      <c r="AJ46" s="17">
        <f>'[3]тариф начисл. 2019 с янв'!$AO$52</f>
        <v>53445.74</v>
      </c>
      <c r="AK46" s="17">
        <f>'[3]тариф начисл. 2019 с янв'!$AS$52</f>
        <v>31149.360000000001</v>
      </c>
      <c r="AL46" s="17">
        <f>'[3]тариф начисл. 2019 с янв'!$AW$52</f>
        <v>27542.59</v>
      </c>
      <c r="AM46" s="17">
        <f>'[3]тариф начисл. 2019 с янв'!$AZ$52</f>
        <v>47871.65</v>
      </c>
      <c r="AN46" s="16">
        <f t="shared" si="4"/>
        <v>261982.51</v>
      </c>
      <c r="AO46" s="16">
        <f t="shared" si="9"/>
        <v>725758.41</v>
      </c>
      <c r="AP46" s="247">
        <f t="shared" si="5"/>
        <v>89787.689999999988</v>
      </c>
      <c r="AQ46" s="22">
        <f t="shared" si="6"/>
        <v>635970.72000000009</v>
      </c>
    </row>
    <row r="47" spans="1:43">
      <c r="A47" s="4">
        <v>39</v>
      </c>
      <c r="B47" s="21">
        <v>39</v>
      </c>
      <c r="C47" s="144">
        <v>43</v>
      </c>
      <c r="D47" s="84" t="s">
        <v>6</v>
      </c>
      <c r="E47" s="73">
        <v>10</v>
      </c>
      <c r="F47" s="73" t="s">
        <v>65</v>
      </c>
      <c r="G47" s="74">
        <v>1968</v>
      </c>
      <c r="H47" s="68">
        <f>'[2]тариф начисл. 2018 с янв'!$I$52</f>
        <v>2671.5</v>
      </c>
      <c r="I47" s="69" t="s">
        <v>40</v>
      </c>
      <c r="J47" s="75">
        <v>20.88</v>
      </c>
      <c r="K47" s="142">
        <v>90027.099999999977</v>
      </c>
      <c r="L47" s="70">
        <f>'[5]УК ЖЭУ-7 2020 год'!$L$56</f>
        <v>680445.72</v>
      </c>
      <c r="M47" s="70">
        <f>'[5]УК ЖЭУ-7 2020 год'!$M$56</f>
        <v>638188.62</v>
      </c>
      <c r="N47" s="70">
        <v>0</v>
      </c>
      <c r="O47" s="86">
        <f t="shared" si="8"/>
        <v>132284.19999999995</v>
      </c>
      <c r="P47" s="86"/>
      <c r="Q47" s="16">
        <v>1199.5799999999995</v>
      </c>
      <c r="R47" s="16">
        <v>4798.32</v>
      </c>
      <c r="S47" s="16">
        <v>3998.6</v>
      </c>
      <c r="T47" s="16">
        <f t="shared" si="10"/>
        <v>1999.2999999999997</v>
      </c>
      <c r="U47" s="15">
        <f>'[3]тариф начисл. 2019 с янв'!$P$53</f>
        <v>2244.06</v>
      </c>
      <c r="V47" s="15">
        <f>'[3]тариф начисл. 2019 с янв'!$O$53+[3]авг!$F$53</f>
        <v>58986.54</v>
      </c>
      <c r="W47" s="15">
        <f>'[3]тариф начисл. 2019 с янв'!$N$53</f>
        <v>195874.38</v>
      </c>
      <c r="X47" s="15"/>
      <c r="Y47" s="15"/>
      <c r="Z47" s="15">
        <f>'[3]тариф начисл. 2019 с янв'!$AC$53</f>
        <v>320.58</v>
      </c>
      <c r="AA47" s="15">
        <f>'[3]тариф начисл. 2019 с янв'!$AD$53+'[3]тариф начисл. 2019 с янв'!$AE$53</f>
        <v>30134.52</v>
      </c>
      <c r="AB47" s="15">
        <f>'[3]тариф начисл. 2019 с янв'!$AA$53</f>
        <v>1282.32</v>
      </c>
      <c r="AC47" s="15">
        <f>'[3]тариф начисл. 2019 с янв'!$AB$53+[6]год!$F$53</f>
        <v>2457.3000000000002</v>
      </c>
      <c r="AD47" s="15">
        <f>'[3]тариф начисл. 2019 с янв'!$Z$53</f>
        <v>28211.040000000001</v>
      </c>
      <c r="AE47" s="15">
        <f>'[3]тариф начисл. 2019 с янв'!$V$53</f>
        <v>103867.92</v>
      </c>
      <c r="AF47" s="15"/>
      <c r="AG47" s="15">
        <f>'[3]тариф начисл. 2019 с янв'!$BA$53</f>
        <v>46163.519999999997</v>
      </c>
      <c r="AH47" s="16">
        <f t="shared" si="7"/>
        <v>469542.18</v>
      </c>
      <c r="AI47" s="17">
        <f>'[6]тариф начисл. 2020 с янв'!$AJ$53</f>
        <v>99700.38</v>
      </c>
      <c r="AJ47" s="17">
        <f>'[3]тариф начисл. 2019 с янв'!$AO$53</f>
        <v>52254.54</v>
      </c>
      <c r="AK47" s="17">
        <f>'[3]тариф начисл. 2019 с янв'!$AS$53</f>
        <v>30455.1</v>
      </c>
      <c r="AL47" s="17">
        <f>'[3]тариф начисл. 2019 с янв'!$AW$53</f>
        <v>26928.720000000001</v>
      </c>
      <c r="AM47" s="17">
        <f>'[3]тариф начисл. 2019 с янв'!$AZ$53</f>
        <v>46804.68</v>
      </c>
      <c r="AN47" s="16">
        <f t="shared" si="4"/>
        <v>256143.42</v>
      </c>
      <c r="AO47" s="16">
        <f t="shared" si="9"/>
        <v>725685.6</v>
      </c>
      <c r="AP47" s="249">
        <f t="shared" si="5"/>
        <v>83498.379999999976</v>
      </c>
      <c r="AQ47" s="22">
        <f t="shared" si="6"/>
        <v>642187.22</v>
      </c>
    </row>
    <row r="48" spans="1:43">
      <c r="A48" s="4"/>
      <c r="B48" s="20"/>
      <c r="C48" s="144">
        <v>44</v>
      </c>
      <c r="D48" s="84" t="s">
        <v>6</v>
      </c>
      <c r="E48" s="83" t="s">
        <v>89</v>
      </c>
      <c r="F48" s="74" t="s">
        <v>32</v>
      </c>
      <c r="G48" s="110" t="s">
        <v>90</v>
      </c>
      <c r="H48" s="68">
        <f>'[3]тариф начисл. 2019 с янв'!$I$54</f>
        <v>5117.2</v>
      </c>
      <c r="I48" s="69" t="s">
        <v>40</v>
      </c>
      <c r="J48" s="75">
        <v>25.92</v>
      </c>
      <c r="K48" s="142">
        <v>172594.05999999994</v>
      </c>
      <c r="L48" s="70">
        <f>'[5]УК ЖЭУ-7 2020 год'!$L$57</f>
        <v>1048018.2</v>
      </c>
      <c r="M48" s="70">
        <f>'[5]УК ЖЭУ-7 2020 год'!$M$57</f>
        <v>1080742.8799999999</v>
      </c>
      <c r="N48" s="70">
        <v>0</v>
      </c>
      <c r="O48" s="86">
        <f t="shared" si="8"/>
        <v>139869.37999999989</v>
      </c>
      <c r="P48" s="86"/>
      <c r="Q48" s="16">
        <v>46641.949999999953</v>
      </c>
      <c r="R48" s="16">
        <f>4956.45+66730.04+531403.34</f>
        <v>603089.82999999996</v>
      </c>
      <c r="S48" s="16">
        <f>4233.87+53610.48+462872.54</f>
        <v>520716.89</v>
      </c>
      <c r="T48" s="16">
        <f t="shared" si="10"/>
        <v>129014.8899999999</v>
      </c>
      <c r="U48" s="15">
        <f>'[3]тариф начисл. 2019 с янв'!$P$54</f>
        <v>4298.45</v>
      </c>
      <c r="V48" s="15">
        <f>'[6]тариф начисл. 2020 с янв'!$O$54+[6]авг!$F$54</f>
        <v>7982.83</v>
      </c>
      <c r="W48" s="15">
        <f>'[3]тариф начисл. 2019 с янв'!$N$54</f>
        <v>375193.1</v>
      </c>
      <c r="X48" s="15"/>
      <c r="Y48" s="15"/>
      <c r="Z48" s="15">
        <f>'[3]тариф начисл. 2019 с янв'!$AC$54</f>
        <v>614.05999999999995</v>
      </c>
      <c r="AA48" s="15">
        <f>'[3]тариф начисл. 2019 с янв'!$AD$54+'[3]тариф начисл. 2019 с янв'!$AE$54</f>
        <v>57722.02</v>
      </c>
      <c r="AB48" s="15">
        <f>'[3]тариф начисл. 2019 с янв'!$AA$54</f>
        <v>2456.2600000000002</v>
      </c>
      <c r="AC48" s="15">
        <f>'[3]тариф начисл. 2019 с янв'!$AB$54+[6]год!$F$54</f>
        <v>2911.3900000000003</v>
      </c>
      <c r="AD48" s="15">
        <f>'[3]тариф начисл. 2019 с янв'!$Z$54</f>
        <v>54037.63</v>
      </c>
      <c r="AE48" s="15">
        <f>'[3]тариф начисл. 2019 с янв'!$V$54</f>
        <v>198956.74</v>
      </c>
      <c r="AF48" s="15">
        <f>'[3]тариф начисл. 2019 с янв'!$T$54</f>
        <v>257292.82</v>
      </c>
      <c r="AG48" s="15">
        <f>'[3]тариф начисл. 2019 с янв'!$BA$54</f>
        <v>88425.22</v>
      </c>
      <c r="AH48" s="16">
        <f>SUM(U48:AG48)</f>
        <v>1049890.52</v>
      </c>
      <c r="AI48" s="17">
        <f>'[6]тариф начисл. 2020 с янв'!$AJ$54</f>
        <v>190973.9</v>
      </c>
      <c r="AJ48" s="17">
        <f>'[3]тариф начисл. 2019 с янв'!$AO$54+[6]год!$X$54</f>
        <v>230540.43</v>
      </c>
      <c r="AK48" s="17">
        <f>'[3]тариф начисл. 2019 с янв'!$AS$54</f>
        <v>109917.46</v>
      </c>
      <c r="AL48" s="17">
        <f>'[3]тариф начисл. 2019 с янв'!$AW$54</f>
        <v>52195.44</v>
      </c>
      <c r="AM48" s="17">
        <f>'[3]тариф начисл. 2019 с янв'!$AZ$54</f>
        <v>89653.34</v>
      </c>
      <c r="AN48" s="16">
        <f t="shared" si="4"/>
        <v>673280.57</v>
      </c>
      <c r="AO48" s="16">
        <f t="shared" si="9"/>
        <v>1723171.0899999999</v>
      </c>
      <c r="AP48" s="256">
        <f t="shared" si="5"/>
        <v>121711.31999999995</v>
      </c>
      <c r="AQ48" s="22">
        <f t="shared" si="6"/>
        <v>1601459.77</v>
      </c>
    </row>
    <row r="49" spans="1:43">
      <c r="A49" s="4">
        <v>40</v>
      </c>
      <c r="B49" s="20">
        <v>40</v>
      </c>
      <c r="C49" s="144">
        <v>45</v>
      </c>
      <c r="D49" s="84" t="s">
        <v>6</v>
      </c>
      <c r="E49" s="73">
        <v>12</v>
      </c>
      <c r="F49" s="73" t="s">
        <v>65</v>
      </c>
      <c r="G49" s="74">
        <v>1968</v>
      </c>
      <c r="H49" s="68">
        <f>'[2]тариф начисл. 2018 с янв'!$I$54</f>
        <v>2708.1</v>
      </c>
      <c r="I49" s="69" t="s">
        <v>40</v>
      </c>
      <c r="J49" s="75">
        <v>20.88</v>
      </c>
      <c r="K49" s="142">
        <v>134126.85999999999</v>
      </c>
      <c r="L49" s="70">
        <f>'[5]УК ЖЭУ-7 2020 год'!$L$58</f>
        <v>678541.2</v>
      </c>
      <c r="M49" s="70">
        <f>'[5]УК ЖЭУ-7 2020 год'!$M$58</f>
        <v>660962.84</v>
      </c>
      <c r="N49" s="70">
        <v>0</v>
      </c>
      <c r="O49" s="86">
        <f t="shared" si="8"/>
        <v>151705.21999999997</v>
      </c>
      <c r="P49" s="86"/>
      <c r="Q49" s="16">
        <v>2520.5500000000011</v>
      </c>
      <c r="R49" s="16">
        <f>4956.45+4798.32</f>
        <v>9754.77</v>
      </c>
      <c r="S49" s="16">
        <f>4233.87+998.6</f>
        <v>5232.47</v>
      </c>
      <c r="T49" s="16">
        <f t="shared" si="10"/>
        <v>7042.8500000000013</v>
      </c>
      <c r="U49" s="15">
        <f>'[3]тариф начисл. 2019 с янв'!$P$55</f>
        <v>2274.8000000000002</v>
      </c>
      <c r="V49" s="15">
        <f>'[3]тариф начисл. 2019 с янв'!$O$55+[3]авг!$F$55</f>
        <v>63636.639999999999</v>
      </c>
      <c r="W49" s="15">
        <f>'[3]тариф начисл. 2019 с янв'!$N$55</f>
        <v>198557.89</v>
      </c>
      <c r="X49" s="15"/>
      <c r="Y49" s="15"/>
      <c r="Z49" s="15">
        <f>'[3]тариф начисл. 2019 с янв'!$AC$55</f>
        <v>324.97000000000003</v>
      </c>
      <c r="AA49" s="15">
        <f>'[3]тариф начисл. 2019 с янв'!$AD$55+'[3]тариф начисл. 2019 с янв'!$AE$55</f>
        <v>30547.360000000001</v>
      </c>
      <c r="AB49" s="15">
        <f>'[3]тариф начисл. 2019 с янв'!$AA$55</f>
        <v>1299.8900000000001</v>
      </c>
      <c r="AC49" s="15">
        <f>'[6]тариф начисл. 2020 с янв'!$AB$55+[6]год!$F$55</f>
        <v>2524.3000000000002</v>
      </c>
      <c r="AD49" s="15">
        <f>'[3]тариф начисл. 2019 с янв'!$Y$55</f>
        <v>28597.54</v>
      </c>
      <c r="AE49" s="15">
        <f>'[3]тариф начисл. 2019 с янв'!$V$55</f>
        <v>105290.93</v>
      </c>
      <c r="AF49" s="15"/>
      <c r="AG49" s="15">
        <f>'[3]тариф начисл. 2019 с янв'!$BA$55</f>
        <v>46795.97</v>
      </c>
      <c r="AH49" s="16">
        <f t="shared" ref="AH49:AH76" si="11">SUM(U49:AG49)</f>
        <v>479850.28999999992</v>
      </c>
      <c r="AI49" s="17">
        <f>'[3]тариф начисл. 2019 с янв'!$AJ$55</f>
        <v>101066.29</v>
      </c>
      <c r="AJ49" s="17">
        <f>'[3]тариф начисл. 2019 с янв'!$AO$55</f>
        <v>52970.44</v>
      </c>
      <c r="AK49" s="17">
        <f>'[3]тариф начисл. 2019 с янв'!$AS$55</f>
        <v>30872.34</v>
      </c>
      <c r="AL49" s="17">
        <f>'[3]тариф начисл. 2019 с янв'!$AW$55</f>
        <v>27297.65</v>
      </c>
      <c r="AM49" s="17">
        <f>'[3]тариф начисл. 2019 с янв'!$AZ$55</f>
        <v>47445.91</v>
      </c>
      <c r="AN49" s="16">
        <f t="shared" si="4"/>
        <v>259652.62999999998</v>
      </c>
      <c r="AO49" s="16">
        <f t="shared" si="9"/>
        <v>739502.91999999993</v>
      </c>
      <c r="AP49" s="247">
        <f t="shared" si="5"/>
        <v>73307.609999999957</v>
      </c>
      <c r="AQ49" s="22">
        <f t="shared" si="6"/>
        <v>666195.30999999994</v>
      </c>
    </row>
    <row r="50" spans="1:43">
      <c r="A50" s="4">
        <v>41</v>
      </c>
      <c r="B50" s="21">
        <v>41</v>
      </c>
      <c r="C50" s="144">
        <v>46</v>
      </c>
      <c r="D50" s="84" t="s">
        <v>6</v>
      </c>
      <c r="E50" s="73">
        <v>14</v>
      </c>
      <c r="F50" s="73" t="s">
        <v>65</v>
      </c>
      <c r="G50" s="74">
        <v>1968</v>
      </c>
      <c r="H50" s="68">
        <f>'[2]тариф начисл. 2018 с янв'!$I$55</f>
        <v>2705</v>
      </c>
      <c r="I50" s="69" t="s">
        <v>40</v>
      </c>
      <c r="J50" s="75">
        <v>20.88</v>
      </c>
      <c r="K50" s="142">
        <v>214706.03999999992</v>
      </c>
      <c r="L50" s="70">
        <f>'[5]УК ЖЭУ-7 2020 год'!$L$60</f>
        <v>677764.44</v>
      </c>
      <c r="M50" s="70">
        <f>'[5]УК ЖЭУ-7 2020 год'!$M$60</f>
        <v>655791.91</v>
      </c>
      <c r="N50" s="70">
        <v>0</v>
      </c>
      <c r="O50" s="86">
        <f t="shared" si="8"/>
        <v>236678.56999999983</v>
      </c>
      <c r="P50" s="86"/>
      <c r="Q50" s="16">
        <v>1199.5799999999995</v>
      </c>
      <c r="R50" s="16">
        <v>4798.32</v>
      </c>
      <c r="S50" s="16">
        <v>998.6</v>
      </c>
      <c r="T50" s="16">
        <f t="shared" si="10"/>
        <v>4999.2999999999993</v>
      </c>
      <c r="U50" s="15">
        <f>'[3]тариф начисл. 2019 с янв'!$P$56</f>
        <v>2272.1999999999998</v>
      </c>
      <c r="V50" s="15">
        <f>'[3]тариф начисл. 2019 с янв'!$O$56+[3]авг!$F$56</f>
        <v>51081.630000000005</v>
      </c>
      <c r="W50" s="15">
        <f>'[3]тариф начисл. 2019 с янв'!$N$56</f>
        <v>198330.6</v>
      </c>
      <c r="X50" s="15"/>
      <c r="Y50" s="15"/>
      <c r="Z50" s="15">
        <f>'[3]тариф начисл. 2019 с янв'!$AC$56</f>
        <v>324.60000000000002</v>
      </c>
      <c r="AA50" s="15">
        <f>'[3]тариф начисл. 2019 с янв'!$AD$56+'[3]тариф начисл. 2019 с янв'!$AE$56</f>
        <v>30512.400000000001</v>
      </c>
      <c r="AB50" s="15">
        <f>'[3]тариф начисл. 2019 с янв'!$AA$56</f>
        <v>1298.4000000000001</v>
      </c>
      <c r="AC50" s="15">
        <f>'[3]тариф начисл. 2019 с янв'!$AB$56+[6]год!$F$56</f>
        <v>3362.8999999999996</v>
      </c>
      <c r="AD50" s="15">
        <f>'[3]тариф начисл. 2019 с янв'!$Y$56</f>
        <v>28564.799999999999</v>
      </c>
      <c r="AE50" s="15">
        <f>'[3]тариф начисл. 2019 с янв'!$V$56</f>
        <v>105170.4</v>
      </c>
      <c r="AF50" s="15"/>
      <c r="AG50" s="15">
        <f>'[3]тариф начисл. 2019 с янв'!$BA$56</f>
        <v>46742.400000000001</v>
      </c>
      <c r="AH50" s="16">
        <f t="shared" si="11"/>
        <v>467660.33000000007</v>
      </c>
      <c r="AI50" s="17">
        <f>'[3]тариф начисл. 2019 с янв'!$AJ$56</f>
        <v>100950.6</v>
      </c>
      <c r="AJ50" s="17">
        <f>'[3]тариф начисл. 2019 с янв'!$AO$56</f>
        <v>52909.8</v>
      </c>
      <c r="AK50" s="17">
        <f>'[3]тариф начисл. 2019 с янв'!$AS$56</f>
        <v>30837</v>
      </c>
      <c r="AL50" s="17">
        <f>'[3]тариф начисл. 2019 с янв'!$AW$56</f>
        <v>27266.400000000001</v>
      </c>
      <c r="AM50" s="17">
        <f>'[3]тариф начисл. 2019 с янв'!$AZ$56</f>
        <v>47391.6</v>
      </c>
      <c r="AN50" s="16">
        <f t="shared" si="4"/>
        <v>259355.40000000002</v>
      </c>
      <c r="AO50" s="16">
        <f t="shared" si="9"/>
        <v>727015.7300000001</v>
      </c>
      <c r="AP50" s="247">
        <f t="shared" si="5"/>
        <v>70225.220000000059</v>
      </c>
      <c r="AQ50" s="22">
        <f t="shared" si="6"/>
        <v>656790.51</v>
      </c>
    </row>
    <row r="51" spans="1:43">
      <c r="A51" s="4">
        <v>42</v>
      </c>
      <c r="B51" s="21">
        <v>42</v>
      </c>
      <c r="C51" s="144">
        <v>47</v>
      </c>
      <c r="D51" s="84" t="s">
        <v>6</v>
      </c>
      <c r="E51" s="73">
        <v>16</v>
      </c>
      <c r="F51" s="73" t="s">
        <v>65</v>
      </c>
      <c r="G51" s="74">
        <v>1968</v>
      </c>
      <c r="H51" s="68">
        <f>'[2]тариф начисл. 2018 с янв'!$I$56</f>
        <v>2706.7</v>
      </c>
      <c r="I51" s="69" t="s">
        <v>40</v>
      </c>
      <c r="J51" s="75">
        <v>20.88</v>
      </c>
      <c r="K51" s="142">
        <v>126559.99</v>
      </c>
      <c r="L51" s="70">
        <f>'[5]УК ЖЭУ-7 2020 год'!$L$61</f>
        <v>662856.72</v>
      </c>
      <c r="M51" s="70">
        <f>'[5]УК ЖЭУ-7 2020 год'!$M$61</f>
        <v>678706.34</v>
      </c>
      <c r="N51" s="70">
        <v>0</v>
      </c>
      <c r="O51" s="86">
        <f t="shared" si="8"/>
        <v>110710.37</v>
      </c>
      <c r="P51" s="86"/>
      <c r="Q51" s="16">
        <v>1199.5799999999995</v>
      </c>
      <c r="R51" s="16">
        <v>4798.32</v>
      </c>
      <c r="S51" s="16">
        <v>998.6</v>
      </c>
      <c r="T51" s="16">
        <f t="shared" si="10"/>
        <v>4999.2999999999993</v>
      </c>
      <c r="U51" s="15">
        <f>'[3]тариф начисл. 2019 с янв'!$P$57</f>
        <v>2273.63</v>
      </c>
      <c r="V51" s="15">
        <f>'[3]тариф начисл. 2019 с янв'!$O$57+[3]авг!$F$57</f>
        <v>48368.289999999994</v>
      </c>
      <c r="W51" s="15">
        <f>'[3]тариф начисл. 2019 с янв'!$N$57</f>
        <v>198455.24</v>
      </c>
      <c r="X51" s="15"/>
      <c r="Y51" s="15"/>
      <c r="Z51" s="15">
        <f>'[3]тариф начисл. 2019 с янв'!$AC$57</f>
        <v>324.8</v>
      </c>
      <c r="AA51" s="15">
        <f>'[3]тариф начисл. 2019 с янв'!$AD$57+'[3]тариф начисл. 2019 с янв'!$AE$57</f>
        <v>30531.58</v>
      </c>
      <c r="AB51" s="15">
        <f>'[3]тариф начисл. 2019 с янв'!$AA$57</f>
        <v>1299.22</v>
      </c>
      <c r="AC51" s="15">
        <f>'[6]тариф начисл. 2020 с янв'!$AB$57+[6]год!$F$57</f>
        <v>4140.93</v>
      </c>
      <c r="AD51" s="15">
        <f>'[3]тариф начисл. 2019 с янв'!$Y$57</f>
        <v>28582.75</v>
      </c>
      <c r="AE51" s="15">
        <f>'[3]тариф начисл. 2019 с янв'!$V$57</f>
        <v>105236.5</v>
      </c>
      <c r="AF51" s="15"/>
      <c r="AG51" s="15">
        <f>'[3]тариф начисл. 2019 с янв'!$BA$57</f>
        <v>46771.78</v>
      </c>
      <c r="AH51" s="16">
        <f t="shared" si="11"/>
        <v>465984.72</v>
      </c>
      <c r="AI51" s="17">
        <f>'[3]тариф начисл. 2019 с янв'!$AJ$57</f>
        <v>101014.04</v>
      </c>
      <c r="AJ51" s="17">
        <f>'[3]тариф начисл. 2019 с янв'!$AO$57</f>
        <v>52943.05</v>
      </c>
      <c r="AK51" s="17">
        <f>'[3]тариф начисл. 2019 с янв'!$AS$57</f>
        <v>30856.38</v>
      </c>
      <c r="AL51" s="17">
        <f>'[3]тариф начисл. 2019 с янв'!$AW$57</f>
        <v>27283.54</v>
      </c>
      <c r="AM51" s="17">
        <f>'[3]тариф начисл. 2019 с янв'!$AZ$57</f>
        <v>47421.38</v>
      </c>
      <c r="AN51" s="16">
        <f t="shared" si="4"/>
        <v>259518.39</v>
      </c>
      <c r="AO51" s="16">
        <f t="shared" si="9"/>
        <v>725503.11</v>
      </c>
      <c r="AP51" s="247">
        <f t="shared" si="5"/>
        <v>45798.17000000002</v>
      </c>
      <c r="AQ51" s="22">
        <f t="shared" si="6"/>
        <v>679704.94</v>
      </c>
    </row>
    <row r="52" spans="1:43">
      <c r="A52" s="4">
        <v>43</v>
      </c>
      <c r="B52" s="20">
        <v>43</v>
      </c>
      <c r="C52" s="144">
        <v>48</v>
      </c>
      <c r="D52" s="84" t="s">
        <v>6</v>
      </c>
      <c r="E52" s="73">
        <v>18</v>
      </c>
      <c r="F52" s="73" t="s">
        <v>65</v>
      </c>
      <c r="G52" s="74">
        <v>1968</v>
      </c>
      <c r="H52" s="68">
        <f>'[2]тариф начисл. 2018 с янв'!$I$57</f>
        <v>4403.7</v>
      </c>
      <c r="I52" s="69" t="s">
        <v>66</v>
      </c>
      <c r="J52" s="75">
        <v>20.88</v>
      </c>
      <c r="K52" s="142">
        <v>278811.90999999997</v>
      </c>
      <c r="L52" s="70">
        <f>'[5]УК ЖЭУ-7 2020 год'!$L$62</f>
        <v>1075554.3600000001</v>
      </c>
      <c r="M52" s="70">
        <f>'[5]УК ЖЭУ-7 2020 год'!$M$62</f>
        <v>1123199.17</v>
      </c>
      <c r="N52" s="70">
        <v>0</v>
      </c>
      <c r="O52" s="86">
        <f t="shared" si="8"/>
        <v>231167.10000000009</v>
      </c>
      <c r="P52" s="86"/>
      <c r="Q52" s="16">
        <v>13820.419999999995</v>
      </c>
      <c r="R52" s="16">
        <f>6855.43+28570.44</f>
        <v>35425.869999999995</v>
      </c>
      <c r="S52" s="16">
        <f>712.86+26391.76</f>
        <v>27104.62</v>
      </c>
      <c r="T52" s="16">
        <f t="shared" si="10"/>
        <v>22141.669999999995</v>
      </c>
      <c r="U52" s="15">
        <f>'[3]тариф начисл. 2019 с янв'!$P$58</f>
        <v>3699.11</v>
      </c>
      <c r="V52" s="15">
        <f>'[3]тариф начисл. 2019 с янв'!$O$58+[3]авг!$F$58</f>
        <v>48124.119999999995</v>
      </c>
      <c r="W52" s="15">
        <f>'[3]тариф начисл. 2019 с янв'!$N$58</f>
        <v>322879.28000000003</v>
      </c>
      <c r="X52" s="15"/>
      <c r="Y52" s="15"/>
      <c r="Z52" s="15">
        <f>'[3]тариф начисл. 2019 с янв'!$AC$58</f>
        <v>528.44000000000005</v>
      </c>
      <c r="AA52" s="15">
        <f>'[3]тариф начисл. 2019 с янв'!$AD$58+'[3]тариф начисл. 2019 с янв'!$AE$58</f>
        <v>49673.74</v>
      </c>
      <c r="AB52" s="15">
        <f>'[3]тариф начисл. 2019 с янв'!$AA$58</f>
        <v>2113.7800000000002</v>
      </c>
      <c r="AC52" s="15">
        <f>'[6]тариф начисл. 2020 с янв'!$AB$58+[6]год!$F$58</f>
        <v>3899.0499999999997</v>
      </c>
      <c r="AD52" s="15">
        <f>'[3]тариф начисл. 2019 с янв'!$Y$58</f>
        <v>46503.07</v>
      </c>
      <c r="AE52" s="15">
        <f>'[3]тариф начисл. 2019 с янв'!$V$58</f>
        <v>171215.86</v>
      </c>
      <c r="AF52" s="15"/>
      <c r="AG52" s="15">
        <f>'[3]тариф начисл. 2019 с янв'!$BA$58</f>
        <v>76095.94</v>
      </c>
      <c r="AH52" s="16">
        <f t="shared" si="11"/>
        <v>724732.3899999999</v>
      </c>
      <c r="AI52" s="17">
        <f>'[3]тариф начисл. 2019 с янв'!$AJ$58</f>
        <v>164346.07999999999</v>
      </c>
      <c r="AJ52" s="17">
        <f>'[3]тариф начисл. 2019 с янв'!$AO$58+[6]год!$X$58</f>
        <v>97906.37</v>
      </c>
      <c r="AK52" s="17">
        <f>'[3]тариф начисл. 2019 с янв'!$AS$58</f>
        <v>50202.18</v>
      </c>
      <c r="AL52" s="17">
        <f>'[3]тариф начисл. 2019 с янв'!$AW$58</f>
        <v>44389.3</v>
      </c>
      <c r="AM52" s="17">
        <f>'[3]тариф начисл. 2019 с янв'!$AZ$58</f>
        <v>77152.820000000007</v>
      </c>
      <c r="AN52" s="16">
        <f t="shared" si="4"/>
        <v>433996.74999999994</v>
      </c>
      <c r="AO52" s="16">
        <f t="shared" si="9"/>
        <v>1158729.1399999999</v>
      </c>
      <c r="AP52" s="254">
        <f t="shared" si="5"/>
        <v>8425.3499999999731</v>
      </c>
      <c r="AQ52" s="22">
        <f t="shared" si="6"/>
        <v>1150303.79</v>
      </c>
    </row>
    <row r="53" spans="1:43">
      <c r="A53" s="4">
        <v>44</v>
      </c>
      <c r="B53" s="21">
        <v>44</v>
      </c>
      <c r="C53" s="144">
        <v>49</v>
      </c>
      <c r="D53" s="84" t="s">
        <v>6</v>
      </c>
      <c r="E53" s="73">
        <v>26</v>
      </c>
      <c r="F53" s="73" t="s">
        <v>65</v>
      </c>
      <c r="G53" s="74">
        <v>1978</v>
      </c>
      <c r="H53" s="68">
        <f>'[2]тариф начисл. 2018 с янв'!$I$58</f>
        <v>4379.5</v>
      </c>
      <c r="I53" s="69" t="s">
        <v>66</v>
      </c>
      <c r="J53" s="75">
        <v>21.73</v>
      </c>
      <c r="K53" s="142">
        <v>241832.45999999973</v>
      </c>
      <c r="L53" s="70">
        <f>'[5]УК ЖЭУ-7 2020 год'!$L$66</f>
        <v>1142130.06</v>
      </c>
      <c r="M53" s="70">
        <f>'[5]УК ЖЭУ-7 2020 год'!$M$66</f>
        <v>1090317.05</v>
      </c>
      <c r="N53" s="70">
        <v>0</v>
      </c>
      <c r="O53" s="86">
        <f t="shared" si="8"/>
        <v>293645.46999999974</v>
      </c>
      <c r="P53" s="86"/>
      <c r="Q53" s="16">
        <v>1320.9700000000012</v>
      </c>
      <c r="R53" s="16">
        <f>27258+4956.45</f>
        <v>32214.45</v>
      </c>
      <c r="S53" s="16">
        <f>22620.5+4233.87</f>
        <v>26854.37</v>
      </c>
      <c r="T53" s="16">
        <f t="shared" si="10"/>
        <v>6681.0499999999993</v>
      </c>
      <c r="U53" s="15">
        <f>'[3]тариф начисл. 2019 с янв'!$P$59</f>
        <v>3678.78</v>
      </c>
      <c r="V53" s="15">
        <f>'[3]тариф начисл. 2019 с янв'!$O$59+[3]авг!$F$59</f>
        <v>51863.55</v>
      </c>
      <c r="W53" s="15">
        <f>'[3]тариф начисл. 2019 с янв'!$N$59</f>
        <v>321104.94</v>
      </c>
      <c r="X53" s="15"/>
      <c r="Y53" s="15"/>
      <c r="Z53" s="15">
        <f>'[3]тариф начисл. 2019 с янв'!$AC$59</f>
        <v>525.54</v>
      </c>
      <c r="AA53" s="15">
        <f>'[3]тариф начисл. 2019 с янв'!$AD$59+'[3]тариф начисл. 2019 с янв'!$AE$59</f>
        <v>49400.76</v>
      </c>
      <c r="AB53" s="15">
        <f>'[3]тариф начисл. 2019 с янв'!$AA$59</f>
        <v>2102.16</v>
      </c>
      <c r="AC53" s="15">
        <f>'[3]тариф начисл. 2019 с янв'!$AB$59+[6]год!$F$59</f>
        <v>3105.42</v>
      </c>
      <c r="AD53" s="15">
        <f>'[3]тариф начисл. 2019 с янв'!$Z$59</f>
        <v>46247.519999999997</v>
      </c>
      <c r="AE53" s="15">
        <f>'[3]тариф начисл. 2019 с янв'!$V$59</f>
        <v>170274.96</v>
      </c>
      <c r="AF53" s="15"/>
      <c r="AG53" s="15">
        <f>'[3]тариф начисл. 2019 с янв'!$BA$59</f>
        <v>75677.759999999995</v>
      </c>
      <c r="AH53" s="16">
        <f t="shared" si="11"/>
        <v>723981.39</v>
      </c>
      <c r="AI53" s="17">
        <f>'[6]тариф начисл. 2020 с янв'!$AJ$59+[6]год!$R$59</f>
        <v>172542.94</v>
      </c>
      <c r="AJ53" s="17">
        <f>'[3]тариф начисл. 2019 с янв'!$AO$59</f>
        <v>85663.02</v>
      </c>
      <c r="AK53" s="17">
        <f>'[3]тариф начисл. 2019 с янв'!$AS$59</f>
        <v>94071.66</v>
      </c>
      <c r="AL53" s="17">
        <f>'[3]тариф начисл. 2019 с янв'!$AW$59</f>
        <v>44670.9</v>
      </c>
      <c r="AM53" s="17">
        <f>'[3]тариф начисл. 2019 с янв'!$AZ$59</f>
        <v>76728.84</v>
      </c>
      <c r="AN53" s="16">
        <f t="shared" si="4"/>
        <v>473677.36</v>
      </c>
      <c r="AO53" s="16">
        <f t="shared" si="9"/>
        <v>1197658.75</v>
      </c>
      <c r="AP53" s="249">
        <f t="shared" si="5"/>
        <v>80487.329999999958</v>
      </c>
      <c r="AQ53" s="22">
        <f t="shared" si="6"/>
        <v>1117171.4200000002</v>
      </c>
    </row>
    <row r="54" spans="1:43">
      <c r="A54" s="4"/>
      <c r="B54" s="21"/>
      <c r="C54" s="144">
        <v>50</v>
      </c>
      <c r="D54" s="84" t="s">
        <v>6</v>
      </c>
      <c r="E54" s="73">
        <v>48</v>
      </c>
      <c r="F54" s="74" t="s">
        <v>32</v>
      </c>
      <c r="G54" s="74">
        <v>1958</v>
      </c>
      <c r="H54" s="68">
        <f>'[2]тариф начисл. 2018 с янв'!$I$59</f>
        <v>1328.3</v>
      </c>
      <c r="I54" s="85" t="s">
        <v>40</v>
      </c>
      <c r="J54" s="75">
        <v>20.88</v>
      </c>
      <c r="K54" s="142">
        <v>42320.06</v>
      </c>
      <c r="L54" s="70">
        <f>'[5]УК ЖЭУ-7 2020 год'!$L$70</f>
        <v>251286.72</v>
      </c>
      <c r="M54" s="70">
        <f>'[5]УК ЖЭУ-7 2020 год'!$M$70</f>
        <v>244655.18</v>
      </c>
      <c r="N54" s="70">
        <v>0</v>
      </c>
      <c r="O54" s="86">
        <f t="shared" si="8"/>
        <v>48951.600000000035</v>
      </c>
      <c r="P54" s="86"/>
      <c r="Q54" s="16">
        <v>17654.129999999976</v>
      </c>
      <c r="R54" s="16">
        <f>1561.89+47105.1+20405.46+4956.45</f>
        <v>74028.899999999994</v>
      </c>
      <c r="S54" s="16">
        <f>1464.27+7867.96+14146.54+4233.87</f>
        <v>27712.639999999999</v>
      </c>
      <c r="T54" s="16">
        <f t="shared" si="10"/>
        <v>63970.38999999997</v>
      </c>
      <c r="U54" s="15">
        <f>'[3]тариф начисл. 2019 с янв'!$P$60</f>
        <v>1115.77</v>
      </c>
      <c r="V54" s="15">
        <f>'[6]тариф начисл. 2020 с янв'!$O$60+[6]авг!$F$60</f>
        <v>2072.15</v>
      </c>
      <c r="W54" s="15">
        <f>'[3]тариф начисл. 2019 с янв'!$N$60</f>
        <v>97390.96</v>
      </c>
      <c r="X54" s="15"/>
      <c r="Y54" s="15"/>
      <c r="Z54" s="15">
        <f>'[3]тариф начисл. 2019 с янв'!$AC$60</f>
        <v>159.4</v>
      </c>
      <c r="AA54" s="15">
        <f>'[3]тариф начисл. 2019 с янв'!$AD$60+'[3]тариф начисл. 2019 с янв'!$AE$60</f>
        <v>14983.22</v>
      </c>
      <c r="AB54" s="15">
        <f>'[3]тариф начисл. 2019 с янв'!$AA$60</f>
        <v>637.58000000000004</v>
      </c>
      <c r="AC54" s="15">
        <f>'[3]тариф начисл. 2019 с янв'!$AB$60+[6]год!$F$60</f>
        <v>1183.79</v>
      </c>
      <c r="AD54" s="15">
        <f>'[3]тариф начисл. 2019 с янв'!$Z$60</f>
        <v>14026.85</v>
      </c>
      <c r="AE54" s="15">
        <f>'[3]тариф начисл. 2019 с янв'!$V$60</f>
        <v>51644.3</v>
      </c>
      <c r="AF54" s="15"/>
      <c r="AG54" s="15">
        <f>'[3]тариф начисл. 2019 с янв'!$BA$60</f>
        <v>22953.02</v>
      </c>
      <c r="AH54" s="16">
        <f t="shared" si="11"/>
        <v>206167.04000000001</v>
      </c>
      <c r="AI54" s="17">
        <f>'[6]тариф начисл. 2020 с янв'!$AJ$60</f>
        <v>49572.160000000003</v>
      </c>
      <c r="AJ54" s="17">
        <f>'[3]тариф начисл. 2019 с янв'!$AO$60</f>
        <v>25981.55</v>
      </c>
      <c r="AK54" s="17">
        <f>'[3]тариф начисл. 2019 с янв'!$AS$60</f>
        <v>15142.62</v>
      </c>
      <c r="AL54" s="17">
        <f>'[3]тариф начисл. 2019 с янв'!$AW$60</f>
        <v>13389.26</v>
      </c>
      <c r="AM54" s="17">
        <f>'[3]тариф начисл. 2019 с янв'!$AZ$60</f>
        <v>23271.82</v>
      </c>
      <c r="AN54" s="16">
        <f t="shared" si="4"/>
        <v>127357.41</v>
      </c>
      <c r="AO54" s="16">
        <f t="shared" si="9"/>
        <v>333524.45</v>
      </c>
      <c r="AP54" s="256">
        <f t="shared" si="5"/>
        <v>61156.630000000019</v>
      </c>
      <c r="AQ54" s="22">
        <f t="shared" si="6"/>
        <v>272367.82</v>
      </c>
    </row>
    <row r="55" spans="1:43">
      <c r="A55" s="4">
        <v>45</v>
      </c>
      <c r="B55" s="21">
        <v>45</v>
      </c>
      <c r="C55" s="144">
        <v>51</v>
      </c>
      <c r="D55" s="84" t="s">
        <v>6</v>
      </c>
      <c r="E55" s="73">
        <v>50</v>
      </c>
      <c r="F55" s="74" t="s">
        <v>32</v>
      </c>
      <c r="G55" s="73">
        <v>1959</v>
      </c>
      <c r="H55" s="68">
        <f>'[2]тариф начисл. 2018 с янв'!$I$60</f>
        <v>1325.4</v>
      </c>
      <c r="I55" s="69" t="s">
        <v>40</v>
      </c>
      <c r="J55" s="75">
        <v>20.88</v>
      </c>
      <c r="K55" s="142">
        <v>39995.830000000016</v>
      </c>
      <c r="L55" s="70">
        <f>'[5]УК ЖЭУ-7 2020 год'!$L$71</f>
        <v>249081.60000000001</v>
      </c>
      <c r="M55" s="70">
        <f>'[5]УК ЖЭУ-7 2020 год'!$M$71</f>
        <v>268640.89</v>
      </c>
      <c r="N55" s="70">
        <v>0</v>
      </c>
      <c r="O55" s="86">
        <f t="shared" si="8"/>
        <v>20436.540000000037</v>
      </c>
      <c r="P55" s="86"/>
      <c r="Q55" s="16">
        <v>17082.349999999991</v>
      </c>
      <c r="R55" s="16">
        <f>1548.18+53827.2+26853.82+8400+18762.6</f>
        <v>109391.79999999999</v>
      </c>
      <c r="S55" s="16">
        <f>1451.42+47238.72+23017.56+8050+18392.55</f>
        <v>98150.25</v>
      </c>
      <c r="T55" s="16">
        <f t="shared" si="10"/>
        <v>28323.89999999998</v>
      </c>
      <c r="U55" s="15">
        <f>'[3]тариф начисл. 2019 с янв'!$P$61</f>
        <v>1113.3399999999999</v>
      </c>
      <c r="V55" s="15">
        <f>'[6]тариф начисл. 2020 с янв'!$O$61+[6]авг!$F$61</f>
        <v>2067.62</v>
      </c>
      <c r="W55" s="15">
        <f>'[3]тариф начисл. 2019 с янв'!$N$61</f>
        <v>97178.33</v>
      </c>
      <c r="X55" s="15"/>
      <c r="Y55" s="15"/>
      <c r="Z55" s="15">
        <f>'[3]тариф начисл. 2019 с янв'!$AC$61</f>
        <v>159.05000000000001</v>
      </c>
      <c r="AA55" s="15">
        <f>'[3]тариф начисл. 2019 с янв'!$AD$61+'[3]тариф начисл. 2019 с янв'!$AE$61</f>
        <v>14950.52</v>
      </c>
      <c r="AB55" s="15">
        <f>'[3]тариф начисл. 2019 с янв'!$AA$61</f>
        <v>636.19000000000005</v>
      </c>
      <c r="AC55" s="15">
        <f>'[6]тариф начисл. 2020 с янв'!$AB$61+[6]год!$F$61</f>
        <v>1969.44</v>
      </c>
      <c r="AD55" s="15">
        <f>'[3]тариф начисл. 2019 с янв'!$Z$61</f>
        <v>13996.22</v>
      </c>
      <c r="AE55" s="15">
        <f>'[3]тариф начисл. 2019 с янв'!$V$61</f>
        <v>51531.55</v>
      </c>
      <c r="AF55" s="15"/>
      <c r="AG55" s="15">
        <f>'[3]тариф начисл. 2019 с янв'!$BA$61</f>
        <v>22902.91</v>
      </c>
      <c r="AH55" s="16">
        <f t="shared" si="11"/>
        <v>206505.17</v>
      </c>
      <c r="AI55" s="17">
        <f>'[6]тариф начисл. 2020 с янв'!$AJ$61+[6]год!$R$61</f>
        <v>58745.93</v>
      </c>
      <c r="AJ55" s="17">
        <f>'[3]тариф начисл. 2019 с янв'!$AO$61+[6]дек!$Y$61</f>
        <v>37694.82</v>
      </c>
      <c r="AK55" s="17">
        <f>'[3]тариф начисл. 2019 с янв'!$AS$61</f>
        <v>15109.56</v>
      </c>
      <c r="AL55" s="17">
        <f>'[3]тариф начисл. 2019 с янв'!$AW$61+[6]дек!$AM$61</f>
        <v>20483.03</v>
      </c>
      <c r="AM55" s="17">
        <f>'[3]тариф начисл. 2019 с янв'!$AZ$61+[6]дек!$AR$61</f>
        <v>41081.009999999995</v>
      </c>
      <c r="AN55" s="16">
        <f t="shared" si="4"/>
        <v>173114.34999999998</v>
      </c>
      <c r="AO55" s="16">
        <f t="shared" si="9"/>
        <v>379619.52</v>
      </c>
      <c r="AP55" s="256">
        <f t="shared" si="5"/>
        <v>12828.380000000005</v>
      </c>
      <c r="AQ55" s="22">
        <f t="shared" si="6"/>
        <v>366791.14</v>
      </c>
    </row>
    <row r="56" spans="1:43">
      <c r="A56" s="4">
        <v>47</v>
      </c>
      <c r="B56" s="21">
        <v>47</v>
      </c>
      <c r="C56" s="144">
        <v>52</v>
      </c>
      <c r="D56" s="84" t="s">
        <v>6</v>
      </c>
      <c r="E56" s="73" t="s">
        <v>23</v>
      </c>
      <c r="F56" s="74" t="s">
        <v>32</v>
      </c>
      <c r="G56" s="73">
        <v>1986</v>
      </c>
      <c r="H56" s="68">
        <f>'[2]тариф начисл. 2018 с янв'!$I$61</f>
        <v>1796</v>
      </c>
      <c r="I56" s="69" t="s">
        <v>40</v>
      </c>
      <c r="J56" s="75">
        <v>21.73</v>
      </c>
      <c r="K56" s="142">
        <v>152678.57000000007</v>
      </c>
      <c r="L56" s="70">
        <f>'[5]УК ЖЭУ-7 2020 год'!$L$59</f>
        <v>468324.96</v>
      </c>
      <c r="M56" s="70">
        <f>'[5]УК ЖЭУ-7 2020 год'!$M$59</f>
        <v>465004.3</v>
      </c>
      <c r="N56" s="70">
        <v>0</v>
      </c>
      <c r="O56" s="86">
        <f t="shared" si="8"/>
        <v>155999.23000000004</v>
      </c>
      <c r="P56" s="86"/>
      <c r="Q56" s="16">
        <v>789.13000000000011</v>
      </c>
      <c r="R56" s="16">
        <v>3156.53</v>
      </c>
      <c r="S56" s="16">
        <v>630.44000000000005</v>
      </c>
      <c r="T56" s="16">
        <f t="shared" si="10"/>
        <v>3315.2200000000003</v>
      </c>
      <c r="U56" s="15">
        <f>'[3]тариф начисл. 2019 с янв'!$P$62</f>
        <v>1508.64</v>
      </c>
      <c r="V56" s="15">
        <f>'[3]тариф начисл. 2019 с янв'!$O$62+[3]авг!$F$62</f>
        <v>66306.990000000005</v>
      </c>
      <c r="W56" s="15">
        <f>'[3]тариф начисл. 2019 с янв'!$N$62</f>
        <v>131682.72</v>
      </c>
      <c r="X56" s="15"/>
      <c r="Y56" s="15"/>
      <c r="Z56" s="15">
        <f>'[3]тариф начисл. 2019 с янв'!$AC$62</f>
        <v>215.52</v>
      </c>
      <c r="AA56" s="15">
        <f>'[3]тариф начисл. 2019 с янв'!$AD$62+'[3]тариф начисл. 2019 с янв'!$AE$62</f>
        <v>20258.88</v>
      </c>
      <c r="AB56" s="15">
        <f>'[3]тариф начисл. 2019 с янв'!$AA$62</f>
        <v>862.08</v>
      </c>
      <c r="AC56" s="15">
        <f>'[3]тариф начисл. 2019 с янв'!$AB$62+[6]год!$F$62</f>
        <v>1828.1399999999999</v>
      </c>
      <c r="AD56" s="15">
        <f>'[3]тариф начисл. 2019 с янв'!$Z$62</f>
        <v>18965.759999999998</v>
      </c>
      <c r="AE56" s="15">
        <f>'[3]тариф начисл. 2019 с янв'!$V$62</f>
        <v>69828.479999999996</v>
      </c>
      <c r="AF56" s="15"/>
      <c r="AG56" s="15">
        <f>'[3]тариф начисл. 2019 с янв'!$BA$62</f>
        <v>31034.880000000001</v>
      </c>
      <c r="AH56" s="16">
        <f t="shared" si="11"/>
        <v>342492.09</v>
      </c>
      <c r="AI56" s="17">
        <f>'[6]тариф начисл. 2020 с янв'!$AJ$62+[6]год!$R$62</f>
        <v>68676.72</v>
      </c>
      <c r="AJ56" s="17">
        <f>'[3]тариф начисл. 2019 с янв'!$AO$62</f>
        <v>35129.760000000002</v>
      </c>
      <c r="AK56" s="17">
        <f>'[3]тариф начисл. 2019 с янв'!$AS$62</f>
        <v>38578.080000000002</v>
      </c>
      <c r="AL56" s="17">
        <f>'[3]тариф начисл. 2019 с янв'!$AW$62</f>
        <v>18319.2</v>
      </c>
      <c r="AM56" s="17">
        <f>'[3]тариф начисл. 2019 с янв'!$AZ$62</f>
        <v>31465.919999999998</v>
      </c>
      <c r="AN56" s="16">
        <f t="shared" si="4"/>
        <v>192169.68</v>
      </c>
      <c r="AO56" s="16">
        <f t="shared" si="9"/>
        <v>534661.77</v>
      </c>
      <c r="AP56" s="247">
        <f t="shared" si="5"/>
        <v>69027.030000000028</v>
      </c>
      <c r="AQ56" s="22">
        <f t="shared" si="6"/>
        <v>465634.74</v>
      </c>
    </row>
    <row r="57" spans="1:43">
      <c r="A57" s="4">
        <v>56</v>
      </c>
      <c r="B57" s="20">
        <v>55</v>
      </c>
      <c r="C57" s="144">
        <v>53</v>
      </c>
      <c r="D57" s="84" t="s">
        <v>10</v>
      </c>
      <c r="E57" s="73">
        <v>14</v>
      </c>
      <c r="F57" s="73" t="s">
        <v>65</v>
      </c>
      <c r="G57" s="74">
        <v>1970</v>
      </c>
      <c r="H57" s="68">
        <f>'[2]тариф начисл. 2018 с янв'!$I$62</f>
        <v>2691.4</v>
      </c>
      <c r="I57" s="69" t="s">
        <v>40</v>
      </c>
      <c r="J57" s="75">
        <v>20.88</v>
      </c>
      <c r="K57" s="142">
        <v>129844.55000000016</v>
      </c>
      <c r="L57" s="70">
        <f>'[5]УК ЖЭУ-7 2020 год'!$L$77</f>
        <v>674357.28</v>
      </c>
      <c r="M57" s="70">
        <f>'[5]УК ЖЭУ-7 2020 год'!$M$77</f>
        <v>631992.43000000005</v>
      </c>
      <c r="N57" s="70">
        <v>0</v>
      </c>
      <c r="O57" s="86">
        <f t="shared" si="8"/>
        <v>172209.40000000014</v>
      </c>
      <c r="P57" s="86"/>
      <c r="Q57" s="16">
        <v>1199.58</v>
      </c>
      <c r="R57" s="16">
        <f>482.77+4798.32</f>
        <v>5281.09</v>
      </c>
      <c r="S57" s="16">
        <f>482.77+998.6</f>
        <v>1481.37</v>
      </c>
      <c r="T57" s="16">
        <f t="shared" si="10"/>
        <v>4999.3</v>
      </c>
      <c r="U57" s="15">
        <f>'[3]тариф начисл. 2019 с янв'!$P$63</f>
        <v>2260.7800000000002</v>
      </c>
      <c r="V57" s="15">
        <f>'[3]тариф начисл. 2019 с янв'!$O$63+[3]авг!$F$63</f>
        <v>54177.47</v>
      </c>
      <c r="W57" s="15">
        <f>'[3]тариф начисл. 2019 с янв'!$N$63</f>
        <v>197333.45</v>
      </c>
      <c r="X57" s="15"/>
      <c r="Y57" s="15"/>
      <c r="Z57" s="15">
        <f>'[3]тариф начисл. 2019 с янв'!$AC$63</f>
        <v>322.97000000000003</v>
      </c>
      <c r="AA57" s="15">
        <f>'[3]тариф начисл. 2019 с янв'!$AD$63+'[3]тариф начисл. 2019 с янв'!$AE$63</f>
        <v>30359</v>
      </c>
      <c r="AB57" s="15">
        <f>'[3]тариф начисл. 2019 с янв'!$AA$63</f>
        <v>1291.8699999999999</v>
      </c>
      <c r="AC57" s="15">
        <f>'[6]тариф начисл. 2020 с янв'!$AB$63+[6]год!$F$63</f>
        <v>1762.55</v>
      </c>
      <c r="AD57" s="15">
        <f>'[3]тариф начисл. 2019 с янв'!$Z$63</f>
        <v>28421.18</v>
      </c>
      <c r="AE57" s="15">
        <f>'[3]тариф начисл. 2019 с янв'!$V$63</f>
        <v>104641.63</v>
      </c>
      <c r="AF57" s="15"/>
      <c r="AG57" s="15">
        <f>'[3]тариф начисл. 2019 с янв'!$BA$63</f>
        <v>46507.39</v>
      </c>
      <c r="AH57" s="16">
        <f t="shared" si="11"/>
        <v>467078.29000000004</v>
      </c>
      <c r="AI57" s="17">
        <f>'[3]тариф начисл. 2019 с янв'!$AJ$63+[6]год!$R$63</f>
        <v>103193.05</v>
      </c>
      <c r="AJ57" s="17">
        <f>'[3]тариф начисл. 2019 с янв'!$AO$63</f>
        <v>52643.78</v>
      </c>
      <c r="AK57" s="17">
        <f>'[3]тариф начисл. 2019 с янв'!$AS$63</f>
        <v>30681.96</v>
      </c>
      <c r="AL57" s="17">
        <f>'[3]тариф начисл. 2019 с янв'!$AW$63</f>
        <v>27129.31</v>
      </c>
      <c r="AM57" s="17">
        <f>'[3]тариф начисл. 2019 с янв'!$AZ$63</f>
        <v>47153.33</v>
      </c>
      <c r="AN57" s="16">
        <f t="shared" si="4"/>
        <v>260801.43</v>
      </c>
      <c r="AO57" s="16">
        <f t="shared" si="9"/>
        <v>727879.72</v>
      </c>
      <c r="AP57" s="247">
        <f t="shared" si="5"/>
        <v>94405.919999999925</v>
      </c>
      <c r="AQ57" s="22">
        <f t="shared" si="6"/>
        <v>633473.80000000005</v>
      </c>
    </row>
    <row r="58" spans="1:43">
      <c r="A58" s="4"/>
      <c r="B58" s="20"/>
      <c r="C58" s="144">
        <v>54</v>
      </c>
      <c r="D58" s="84" t="s">
        <v>10</v>
      </c>
      <c r="E58" s="73">
        <v>21</v>
      </c>
      <c r="F58" s="83" t="s">
        <v>121</v>
      </c>
      <c r="G58" s="74">
        <v>2016</v>
      </c>
      <c r="H58" s="68">
        <f>'[2]тариф начисл. 2018 с янв'!$I$63</f>
        <v>2995</v>
      </c>
      <c r="I58" s="85" t="s">
        <v>40</v>
      </c>
      <c r="J58" s="75">
        <v>33.450000000000003</v>
      </c>
      <c r="K58" s="142">
        <v>484553.04</v>
      </c>
      <c r="L58" s="70">
        <f>'[5]УК ЖЭУ-7 2020 год'!$L$85</f>
        <v>1052191.2</v>
      </c>
      <c r="M58" s="70">
        <f>'[5]УК ЖЭУ-7 2020 год'!$M$85</f>
        <v>1146721.21</v>
      </c>
      <c r="N58" s="70">
        <v>0</v>
      </c>
      <c r="O58" s="86">
        <f t="shared" si="8"/>
        <v>390023.03</v>
      </c>
      <c r="P58" s="86"/>
      <c r="Q58" s="16">
        <v>244945.4</v>
      </c>
      <c r="R58" s="16">
        <v>139530.26</v>
      </c>
      <c r="S58" s="16">
        <v>113109.59</v>
      </c>
      <c r="T58" s="16">
        <f t="shared" si="10"/>
        <v>271366.07000000007</v>
      </c>
      <c r="U58" s="15">
        <f>'[3]тариф начисл. 2019 с янв'!$P$64</f>
        <v>2515.8000000000002</v>
      </c>
      <c r="V58" s="15">
        <f>'[6]тариф начисл. 2020 с янв'!$O$64+[6]авг!$F$64</f>
        <v>4672.2</v>
      </c>
      <c r="W58" s="15">
        <f>'[3]тариф начисл. 2019 с янв'!$N$64</f>
        <v>219593.4</v>
      </c>
      <c r="X58" s="15"/>
      <c r="Y58" s="15">
        <f>'[3]тариф начисл. 2019 с янв'!$BE$64+[6]год!$Z$64</f>
        <v>449790.6</v>
      </c>
      <c r="Z58" s="15">
        <f>'[3]тариф начисл. 2019 с янв'!$AC$64</f>
        <v>359.4</v>
      </c>
      <c r="AA58" s="15">
        <f>'[3]тариф начисл. 2019 с янв'!$AD$64+'[3]тариф начисл. 2019 с янв'!$AE$64</f>
        <v>33783.599999999999</v>
      </c>
      <c r="AB58" s="15">
        <f>'[3]тариф начисл. 2019 с янв'!$AA$64</f>
        <v>1437.6</v>
      </c>
      <c r="AC58" s="15">
        <f>'[3]тариф начисл. 2019 с янв'!$AB$64+[6]год!$F$63</f>
        <v>1871.85</v>
      </c>
      <c r="AD58" s="15">
        <f>'[3]тариф начисл. 2019 с янв'!$Z$64</f>
        <v>31627.200000000001</v>
      </c>
      <c r="AE58" s="15">
        <f>'[3]тариф начисл. 2019 с янв'!$V$64</f>
        <v>116445.6</v>
      </c>
      <c r="AF58" s="15"/>
      <c r="AG58" s="15">
        <f>'[3]тариф начисл. 2019 с янв'!$BA$64</f>
        <v>51753.599999999999</v>
      </c>
      <c r="AH58" s="16">
        <f t="shared" si="11"/>
        <v>913850.84999999986</v>
      </c>
      <c r="AI58" s="17">
        <f>'[3]тариф начисл. 2019 с янв'!$AJ$64</f>
        <v>84099.6</v>
      </c>
      <c r="AJ58" s="17">
        <f>'[3]тариф начисл. 2019 с янв'!$AO$64+[6]год!$X$64</f>
        <v>74914.2</v>
      </c>
      <c r="AK58" s="17">
        <f>'[3]тариф начисл. 2019 с янв'!$AS$64+[6]дек!$AG$64</f>
        <v>89037.6</v>
      </c>
      <c r="AL58" s="17">
        <f>'[3]тариф начисл. 2019 с янв'!$AW$64</f>
        <v>30549</v>
      </c>
      <c r="AM58" s="17">
        <f>'[3]тариф начисл. 2019 с янв'!$AZ$64+[6]дек!$AR$64</f>
        <v>70332.399999999994</v>
      </c>
      <c r="AN58" s="16">
        <f t="shared" si="4"/>
        <v>348932.80000000005</v>
      </c>
      <c r="AO58" s="16">
        <f t="shared" si="9"/>
        <v>1262783.6499999999</v>
      </c>
      <c r="AP58" s="253">
        <f>AO58-M58-S58</f>
        <v>2952.8499999999476</v>
      </c>
      <c r="AQ58" s="22">
        <f t="shared" si="6"/>
        <v>1259830.8</v>
      </c>
    </row>
    <row r="59" spans="1:43">
      <c r="A59" s="4">
        <v>64</v>
      </c>
      <c r="B59" s="21">
        <v>63</v>
      </c>
      <c r="C59" s="144">
        <v>55</v>
      </c>
      <c r="D59" s="84" t="s">
        <v>10</v>
      </c>
      <c r="E59" s="73">
        <v>43</v>
      </c>
      <c r="F59" s="74" t="s">
        <v>32</v>
      </c>
      <c r="G59" s="73">
        <v>1959</v>
      </c>
      <c r="H59" s="68">
        <f>'[2]тариф начисл. 2018 с янв'!$I$64</f>
        <v>1263.5999999999999</v>
      </c>
      <c r="I59" s="69" t="s">
        <v>40</v>
      </c>
      <c r="J59" s="75">
        <v>20.88</v>
      </c>
      <c r="K59" s="142">
        <v>38164.330000000016</v>
      </c>
      <c r="L59" s="70">
        <f>'[5]УК ЖЭУ-7 2020 год'!$L$91</f>
        <v>302375.76</v>
      </c>
      <c r="M59" s="70">
        <f>'[5]УК ЖЭУ-7 2020 год'!$M$91</f>
        <v>292971.59000000003</v>
      </c>
      <c r="N59" s="70">
        <v>0</v>
      </c>
      <c r="O59" s="86">
        <f t="shared" si="8"/>
        <v>47568.5</v>
      </c>
      <c r="P59" s="86"/>
      <c r="Q59" s="16">
        <v>1750</v>
      </c>
      <c r="R59" s="16">
        <f>8400+24490.43</f>
        <v>32890.43</v>
      </c>
      <c r="S59" s="16">
        <f>8050+24490.43</f>
        <v>32540.43</v>
      </c>
      <c r="T59" s="16">
        <f t="shared" si="10"/>
        <v>2100</v>
      </c>
      <c r="U59" s="15">
        <f>'[3]тариф начисл. 2019 с янв'!$P$65</f>
        <v>1061.42</v>
      </c>
      <c r="V59" s="15">
        <f>'[3]тариф начисл. 2019 с янв'!$O$65+[3]авг!$F$65</f>
        <v>4244.47</v>
      </c>
      <c r="W59" s="15">
        <f>'[3]тариф начисл. 2019 с янв'!$N$65</f>
        <v>92647.15</v>
      </c>
      <c r="X59" s="15"/>
      <c r="Y59" s="15"/>
      <c r="Z59" s="15">
        <f>'[3]тариф начисл. 2019 с янв'!$AC$65</f>
        <v>151.63</v>
      </c>
      <c r="AA59" s="15">
        <f>'[3]тариф начисл. 2019 с янв'!$AD$65+'[3]тариф начисл. 2019 с янв'!$AE$65</f>
        <v>14253.4</v>
      </c>
      <c r="AB59" s="15">
        <f>'[3]тариф начисл. 2019 с янв'!$AA$65</f>
        <v>606.53</v>
      </c>
      <c r="AC59" s="15">
        <f>'[3]тариф начисл. 2019 с янв'!$AB$65+[6]год!$F$65</f>
        <v>3124.26</v>
      </c>
      <c r="AD59" s="15">
        <f>'[3]тариф начисл. 2019 с янв'!$Z$65</f>
        <v>13343.62</v>
      </c>
      <c r="AE59" s="15">
        <f>'[3]тариф начисл. 2019 с янв'!$V$65</f>
        <v>49128.77</v>
      </c>
      <c r="AF59" s="15"/>
      <c r="AG59" s="15">
        <f>'[3]тариф начисл. 2019 с янв'!$BA$65</f>
        <v>21835.01</v>
      </c>
      <c r="AH59" s="16">
        <f t="shared" si="11"/>
        <v>200396.25999999998</v>
      </c>
      <c r="AI59" s="17">
        <f>'[6]тариф начисл. 2020 с янв'!$AJ$65+[6]год!$R$65</f>
        <v>97907.15</v>
      </c>
      <c r="AJ59" s="17">
        <f>'[3]тариф начисл. 2019 с янв'!$AO$65</f>
        <v>24716.02</v>
      </c>
      <c r="AK59" s="17">
        <f>'[3]тариф начисл. 2019 с янв'!$AS$65</f>
        <v>14405.04</v>
      </c>
      <c r="AL59" s="17">
        <f>'[3]тариф начисл. 2019 с янв'!$AW$65</f>
        <v>12737.09</v>
      </c>
      <c r="AM59" s="17">
        <f>'[3]тариф начисл. 2019 с янв'!$AZ$65</f>
        <v>22138.27</v>
      </c>
      <c r="AN59" s="16">
        <f t="shared" si="4"/>
        <v>171903.56999999998</v>
      </c>
      <c r="AO59" s="16">
        <f t="shared" si="9"/>
        <v>372299.82999999996</v>
      </c>
      <c r="AP59" s="256">
        <f t="shared" si="5"/>
        <v>46787.809999999932</v>
      </c>
      <c r="AQ59" s="22">
        <f t="shared" si="6"/>
        <v>325512.02</v>
      </c>
    </row>
    <row r="60" spans="1:43">
      <c r="A60" s="4">
        <v>65</v>
      </c>
      <c r="B60" s="20">
        <v>64</v>
      </c>
      <c r="C60" s="144">
        <v>56</v>
      </c>
      <c r="D60" s="84" t="s">
        <v>10</v>
      </c>
      <c r="E60" s="73">
        <v>45</v>
      </c>
      <c r="F60" s="74" t="s">
        <v>32</v>
      </c>
      <c r="G60" s="73">
        <v>1959</v>
      </c>
      <c r="H60" s="68">
        <f>'[2]тариф начисл. 2018 с янв'!$I$65</f>
        <v>1986.8</v>
      </c>
      <c r="I60" s="69" t="s">
        <v>40</v>
      </c>
      <c r="J60" s="75">
        <v>20.88</v>
      </c>
      <c r="K60" s="142">
        <v>94616.13</v>
      </c>
      <c r="L60" s="70">
        <f>'[5]УК ЖЭУ-7 2020 год'!$J$93</f>
        <v>475951.2</v>
      </c>
      <c r="M60" s="70">
        <f>'[5]УК ЖЭУ-7 2020 год'!$M$93</f>
        <v>464646.44</v>
      </c>
      <c r="N60" s="70">
        <f>'[5]УК ЖЭУ-7 2020 год'!$K$93</f>
        <v>-156.6</v>
      </c>
      <c r="O60" s="86">
        <f>K60+L60-M60+N60</f>
        <v>105764.29000000007</v>
      </c>
      <c r="P60" s="86"/>
      <c r="Q60" s="16">
        <v>7275.6399999999994</v>
      </c>
      <c r="R60" s="16">
        <f>8400+27953.52+19697.53</f>
        <v>56051.05</v>
      </c>
      <c r="S60" s="16">
        <f>8050+26577.72+8678.81</f>
        <v>43306.53</v>
      </c>
      <c r="T60" s="16">
        <f t="shared" si="10"/>
        <v>20020.160000000003</v>
      </c>
      <c r="U60" s="15">
        <f>'[3]тариф начисл. 2019 с янв'!$P$66</f>
        <v>1668.91</v>
      </c>
      <c r="V60" s="15">
        <f>'[3]тариф начисл. 2019 с янв'!$O$66+[3]авг!$F$66</f>
        <v>6885.0499999999993</v>
      </c>
      <c r="W60" s="15">
        <f>'[3]тариф начисл. 2019 с янв'!$N$66</f>
        <v>145672.18</v>
      </c>
      <c r="X60" s="15"/>
      <c r="Y60" s="15"/>
      <c r="Z60" s="15">
        <f>'[3]тариф начисл. 2019 с янв'!$AC$66</f>
        <v>238.42</v>
      </c>
      <c r="AA60" s="15">
        <f>'[3]тариф начисл. 2019 с янв'!$AD$66+'[3]тариф начисл. 2019 с янв'!$AE$66</f>
        <v>22411.1</v>
      </c>
      <c r="AB60" s="15">
        <f>'[3]тариф начисл. 2019 с янв'!$AA$66</f>
        <v>953.66</v>
      </c>
      <c r="AC60" s="15">
        <f>'[6]тариф начисл. 2020 с янв'!$AB$66+[6]год!$F$66</f>
        <v>3586.99</v>
      </c>
      <c r="AD60" s="15">
        <f>'[3]тариф начисл. 2019 с янв'!$Z$66</f>
        <v>20980.61</v>
      </c>
      <c r="AE60" s="15">
        <f>'[3]тариф начисл. 2019 с янв'!$V$66</f>
        <v>77246.78</v>
      </c>
      <c r="AF60" s="15"/>
      <c r="AG60" s="15">
        <f>'[3]тариф начисл. 2019 с янв'!$BA$66</f>
        <v>34331.9</v>
      </c>
      <c r="AH60" s="16">
        <f t="shared" si="11"/>
        <v>313975.59999999998</v>
      </c>
      <c r="AI60" s="17">
        <f>'[6]тариф начисл. 2020 с янв'!$AJ$66+[6]год!$R$66</f>
        <v>110534.38</v>
      </c>
      <c r="AJ60" s="17">
        <f>'[3]тариф начисл. 2019 с янв'!$AO$66+[6]год!$X$66</f>
        <v>110461.81</v>
      </c>
      <c r="AK60" s="17">
        <f>'[3]тариф начисл. 2019 с янв'!$AS$66</f>
        <v>22649.52</v>
      </c>
      <c r="AL60" s="17">
        <f>'[3]тариф начисл. 2019 с янв'!$AW$66</f>
        <v>20026.939999999999</v>
      </c>
      <c r="AM60" s="17">
        <f>'[3]тариф начисл. 2019 с янв'!$AZ$66</f>
        <v>34808.74</v>
      </c>
      <c r="AN60" s="16">
        <f t="shared" si="4"/>
        <v>298481.38999999996</v>
      </c>
      <c r="AO60" s="16">
        <f t="shared" si="9"/>
        <v>612456.99</v>
      </c>
      <c r="AP60" s="256">
        <f t="shared" si="5"/>
        <v>104504.01999999999</v>
      </c>
      <c r="AQ60" s="22">
        <f t="shared" si="6"/>
        <v>507952.97</v>
      </c>
    </row>
    <row r="61" spans="1:43">
      <c r="A61" s="4">
        <v>66</v>
      </c>
      <c r="B61" s="21">
        <v>65</v>
      </c>
      <c r="C61" s="144">
        <v>57</v>
      </c>
      <c r="D61" s="84" t="s">
        <v>10</v>
      </c>
      <c r="E61" s="73">
        <v>47</v>
      </c>
      <c r="F61" s="74" t="s">
        <v>32</v>
      </c>
      <c r="G61" s="73">
        <v>1960</v>
      </c>
      <c r="H61" s="68">
        <f>'[3]тариф начисл. 2019 с янв'!$I$67</f>
        <v>1587.7</v>
      </c>
      <c r="I61" s="69" t="s">
        <v>40</v>
      </c>
      <c r="J61" s="75">
        <v>20.88</v>
      </c>
      <c r="K61" s="142">
        <v>156942.02999999997</v>
      </c>
      <c r="L61" s="70">
        <f>'[5]УК ЖЭУ-7 2020 год'!$L$95</f>
        <v>342114.72</v>
      </c>
      <c r="M61" s="70">
        <f>'[5]УК ЖЭУ-7 2020 год'!$M$95</f>
        <v>356481.47</v>
      </c>
      <c r="N61" s="70">
        <v>0</v>
      </c>
      <c r="O61" s="86">
        <f t="shared" si="8"/>
        <v>142575.27999999997</v>
      </c>
      <c r="P61" s="86"/>
      <c r="Q61" s="16">
        <v>8377.6600000000035</v>
      </c>
      <c r="R61" s="16">
        <f>8400+25944.46+14991.62+10406.36</f>
        <v>59742.44</v>
      </c>
      <c r="S61" s="16">
        <f>8050+24418.32+15011.02+10355.52</f>
        <v>57834.86</v>
      </c>
      <c r="T61" s="16">
        <f t="shared" si="10"/>
        <v>10285.240000000005</v>
      </c>
      <c r="U61" s="15">
        <f>'[3]тариф начисл. 2019 с янв'!$P$67</f>
        <v>1333.67</v>
      </c>
      <c r="V61" s="15">
        <f>'[6]тариф начисл. 2020 с янв'!$O$67+[6]авг!$F$67</f>
        <v>2476.81</v>
      </c>
      <c r="W61" s="15">
        <f>'[3]тариф начисл. 2019 с янв'!$N$67</f>
        <v>116410.16</v>
      </c>
      <c r="X61" s="15"/>
      <c r="Y61" s="15"/>
      <c r="Z61" s="15">
        <f>'[3]тариф начисл. 2019 с янв'!$AC$67</f>
        <v>190.52</v>
      </c>
      <c r="AA61" s="15">
        <f>'[3]тариф начисл. 2019 с янв'!$AD$67+'[3]тариф начисл. 2019 с янв'!$AE$67</f>
        <v>17909.259999999998</v>
      </c>
      <c r="AB61" s="15">
        <f>'[3]тариф начисл. 2019 с янв'!$AA$67</f>
        <v>762.1</v>
      </c>
      <c r="AC61" s="15">
        <f>'[3]тариф начисл. 2019 с янв'!$AB$67+[6]год!$F$67</f>
        <v>1585.29</v>
      </c>
      <c r="AD61" s="15">
        <f>'[3]тариф начисл. 2019 с янв'!$Z$67</f>
        <v>16766.11</v>
      </c>
      <c r="AE61" s="15">
        <f>'[3]тариф начисл. 2019 с янв'!$V$67</f>
        <v>61729.78</v>
      </c>
      <c r="AF61" s="15"/>
      <c r="AG61" s="15">
        <f>'[3]тариф начисл. 2019 с янв'!$BA$67</f>
        <v>27435.46</v>
      </c>
      <c r="AH61" s="16">
        <f t="shared" si="11"/>
        <v>246599.16000000003</v>
      </c>
      <c r="AI61" s="17">
        <f>'[6]тариф начисл. 2020 с янв'!$AJ$67+[6]год!$R$67</f>
        <v>92295.56</v>
      </c>
      <c r="AJ61" s="17">
        <f>'[3]тариф начисл. 2019 с янв'!$AO$67</f>
        <v>31055.41</v>
      </c>
      <c r="AK61" s="17">
        <f>'[3]тариф начисл. 2019 с янв'!$AS$67</f>
        <v>18099.78</v>
      </c>
      <c r="AL61" s="17">
        <f>'[3]тариф начисл. 2019 с янв'!$AW$67</f>
        <v>16004.02</v>
      </c>
      <c r="AM61" s="17">
        <f>'[3]тариф начисл. 2019 с янв'!$AZ$67</f>
        <v>27816.5</v>
      </c>
      <c r="AN61" s="16">
        <f t="shared" si="4"/>
        <v>185271.27</v>
      </c>
      <c r="AO61" s="16">
        <f t="shared" si="9"/>
        <v>431870.43000000005</v>
      </c>
      <c r="AP61" s="256">
        <f t="shared" si="5"/>
        <v>17554.100000000079</v>
      </c>
      <c r="AQ61" s="22">
        <f t="shared" si="6"/>
        <v>414316.32999999996</v>
      </c>
    </row>
    <row r="62" spans="1:43">
      <c r="A62" s="4">
        <v>73</v>
      </c>
      <c r="B62" s="25">
        <v>72</v>
      </c>
      <c r="C62" s="144">
        <v>58</v>
      </c>
      <c r="D62" s="84" t="s">
        <v>10</v>
      </c>
      <c r="E62" s="73" t="s">
        <v>24</v>
      </c>
      <c r="F62" s="73" t="s">
        <v>65</v>
      </c>
      <c r="G62" s="74">
        <v>1980</v>
      </c>
      <c r="H62" s="68">
        <f>'[2]тариф начисл. 2018 с янв'!$I$67</f>
        <v>2689.4</v>
      </c>
      <c r="I62" s="75" t="s">
        <v>40</v>
      </c>
      <c r="J62" s="75">
        <v>21.73</v>
      </c>
      <c r="K62" s="142">
        <v>103041.47000000032</v>
      </c>
      <c r="L62" s="70">
        <f>'[5]УК ЖЭУ-7 2020 год'!$L$80</f>
        <v>701288.64</v>
      </c>
      <c r="M62" s="70">
        <f>'[5]УК ЖЭУ-7 2020 год'!$M$80</f>
        <v>702385.11</v>
      </c>
      <c r="N62" s="70">
        <v>0</v>
      </c>
      <c r="O62" s="86">
        <f t="shared" si="8"/>
        <v>101945.00000000035</v>
      </c>
      <c r="P62" s="86"/>
      <c r="Q62" s="16">
        <v>2520.5500000000011</v>
      </c>
      <c r="R62" s="16">
        <f>4956.45+4798.32</f>
        <v>9754.77</v>
      </c>
      <c r="S62" s="16">
        <f>4233.87+998.6</f>
        <v>5232.47</v>
      </c>
      <c r="T62" s="16">
        <f t="shared" si="10"/>
        <v>7042.8500000000013</v>
      </c>
      <c r="U62" s="15">
        <f>'[3]тариф начисл. 2019 с янв'!$P$68</f>
        <v>2259.1</v>
      </c>
      <c r="V62" s="15">
        <f>'[3]тариф начисл. 2019 с янв'!$O$68+[3]авг!$F$68</f>
        <v>48977.18</v>
      </c>
      <c r="W62" s="15">
        <f>'[3]тариф начисл. 2019 с янв'!$N$68</f>
        <v>197186.81</v>
      </c>
      <c r="X62" s="15"/>
      <c r="Y62" s="15"/>
      <c r="Z62" s="15">
        <f>'[3]тариф начисл. 2019 с янв'!$AC$68</f>
        <v>322.73</v>
      </c>
      <c r="AA62" s="15">
        <f>'[3]тариф начисл. 2019 с янв'!$AD$68+'[3]тариф начисл. 2019 с янв'!$AE$68</f>
        <v>30336.44</v>
      </c>
      <c r="AB62" s="15">
        <f>'[3]тариф начисл. 2019 с янв'!$AA$68</f>
        <v>1290.9100000000001</v>
      </c>
      <c r="AC62" s="15">
        <f>'[3]тариф начисл. 2019 с янв'!$AB$68+[6]год!$F$68</f>
        <v>1395.9499999999998</v>
      </c>
      <c r="AD62" s="15">
        <f>'[3]тариф начисл. 2019 с янв'!$Z$68</f>
        <v>28400.06</v>
      </c>
      <c r="AE62" s="15">
        <f>'[3]тариф начисл. 2019 с янв'!$V$68</f>
        <v>104563.87</v>
      </c>
      <c r="AF62" s="15"/>
      <c r="AG62" s="15">
        <f>'[3]тариф начисл. 2019 с янв'!$BA$68</f>
        <v>46472.83</v>
      </c>
      <c r="AH62" s="16">
        <f t="shared" si="11"/>
        <v>461205.88</v>
      </c>
      <c r="AI62" s="17">
        <f>'[6]тариф начисл. 2020 с янв'!$AJ$68</f>
        <v>100368.41</v>
      </c>
      <c r="AJ62" s="17">
        <f>'[3]тариф начисл. 2019 с янв'!$AO$68</f>
        <v>52604.66</v>
      </c>
      <c r="AK62" s="17">
        <f>'[3]тариф начисл. 2019 с янв'!$AS$68</f>
        <v>57768.31</v>
      </c>
      <c r="AL62" s="17">
        <f>'[3]тариф начисл. 2019 с янв'!$AW$68</f>
        <v>27431.88</v>
      </c>
      <c r="AM62" s="17">
        <f>'[3]тариф начисл. 2019 с янв'!$AZ$68</f>
        <v>47118.29</v>
      </c>
      <c r="AN62" s="16">
        <f t="shared" si="4"/>
        <v>285291.55</v>
      </c>
      <c r="AO62" s="16">
        <f t="shared" si="9"/>
        <v>746497.42999999993</v>
      </c>
      <c r="AP62" s="249">
        <f t="shared" si="5"/>
        <v>38879.849999999948</v>
      </c>
      <c r="AQ62" s="22">
        <f t="shared" si="6"/>
        <v>707617.58</v>
      </c>
    </row>
    <row r="63" spans="1:43">
      <c r="A63" s="4">
        <v>80</v>
      </c>
      <c r="B63" s="26">
        <v>79</v>
      </c>
      <c r="C63" s="144">
        <v>59</v>
      </c>
      <c r="D63" s="84" t="s">
        <v>10</v>
      </c>
      <c r="E63" s="73" t="s">
        <v>25</v>
      </c>
      <c r="F63" s="73" t="s">
        <v>65</v>
      </c>
      <c r="G63" s="74">
        <v>1980</v>
      </c>
      <c r="H63" s="68">
        <f>'[2]тариф начисл. 2018 с янв'!$I$68</f>
        <v>1909.8</v>
      </c>
      <c r="I63" s="75" t="s">
        <v>40</v>
      </c>
      <c r="J63" s="75">
        <v>23.27</v>
      </c>
      <c r="K63" s="142">
        <v>37862.999999999884</v>
      </c>
      <c r="L63" s="70">
        <f>'[5]УК ЖЭУ-7 2020 год'!$L$84</f>
        <v>408891.12</v>
      </c>
      <c r="M63" s="70">
        <f>'[5]УК ЖЭУ-7 2020 год'!$M$84</f>
        <v>410484.66</v>
      </c>
      <c r="N63" s="70">
        <v>0</v>
      </c>
      <c r="O63" s="86">
        <f t="shared" si="8"/>
        <v>36269.459999999905</v>
      </c>
      <c r="P63" s="86"/>
      <c r="Q63" s="16">
        <v>2110.0999999999913</v>
      </c>
      <c r="R63" s="16">
        <f>4956.45+70688.26+3156.53</f>
        <v>78801.239999999991</v>
      </c>
      <c r="S63" s="16">
        <f>4233.87+70688.26+2630.44</f>
        <v>77552.569999999992</v>
      </c>
      <c r="T63" s="16">
        <f t="shared" si="10"/>
        <v>3358.7699999999895</v>
      </c>
      <c r="U63" s="15">
        <f>'[3]тариф начисл. 2019 с янв'!$P$69</f>
        <v>1604.23</v>
      </c>
      <c r="V63" s="15">
        <f>'[3]тариф начисл. 2019 с янв'!$O$69+[3]авг!$F$69</f>
        <v>56889.98</v>
      </c>
      <c r="W63" s="15">
        <f>'[3]тариф начисл. 2019 с янв'!$N$69</f>
        <v>140026.54</v>
      </c>
      <c r="X63" s="15">
        <f>'[3]тариф начисл. 2019 с янв'!$BC$69</f>
        <v>55460.59</v>
      </c>
      <c r="Y63" s="15"/>
      <c r="Z63" s="15">
        <f>'[3]тариф начисл. 2019 с янв'!$AC$69</f>
        <v>229.18</v>
      </c>
      <c r="AA63" s="15">
        <f>'[3]тариф начисл. 2019 с янв'!$AD$69+'[3]тариф начисл. 2019 с янв'!$AE$69</f>
        <v>21542.54</v>
      </c>
      <c r="AB63" s="15">
        <f>'[3]тариф начисл. 2019 с янв'!$AA$69</f>
        <v>916.7</v>
      </c>
      <c r="AC63" s="15">
        <f>'[6]тариф начисл. 2020 с янв'!$AB$69+[6]год!$F$69</f>
        <v>1540.42</v>
      </c>
      <c r="AD63" s="15">
        <f>'[3]тариф начисл. 2019 с янв'!$Z$69</f>
        <v>0</v>
      </c>
      <c r="AE63" s="15">
        <f>'[3]тариф начисл. 2019 с янв'!$V$69</f>
        <v>74253.02</v>
      </c>
      <c r="AF63" s="15"/>
      <c r="AG63" s="15">
        <f>'[3]тариф начисл. 2019 с янв'!$BA$69</f>
        <v>33001.339999999997</v>
      </c>
      <c r="AH63" s="16">
        <f t="shared" si="11"/>
        <v>385464.54000000004</v>
      </c>
      <c r="AI63" s="17">
        <f>'[3]тариф начисл. 2019 с янв'!$AJ$69</f>
        <v>71273.740000000005</v>
      </c>
      <c r="AJ63" s="17">
        <f>'[3]тариф начисл. 2019 с янв'!$AO$69</f>
        <v>37355.69</v>
      </c>
      <c r="AK63" s="17">
        <f>'[3]тариф начисл. 2019 с янв'!$AS$69</f>
        <v>41022.5</v>
      </c>
      <c r="AL63" s="17">
        <f>'[3]тариф начисл. 2019 с янв'!$AW$69</f>
        <v>19479.96</v>
      </c>
      <c r="AM63" s="17">
        <f>'[3]тариф начисл. 2019 с янв'!$AZ$69</f>
        <v>33459.699999999997</v>
      </c>
      <c r="AN63" s="16">
        <f t="shared" si="4"/>
        <v>202591.58999999997</v>
      </c>
      <c r="AO63" s="16">
        <f t="shared" si="9"/>
        <v>588056.13</v>
      </c>
      <c r="AP63" s="247">
        <f t="shared" si="5"/>
        <v>100018.90000000004</v>
      </c>
      <c r="AQ63" s="22">
        <f t="shared" si="6"/>
        <v>488037.23</v>
      </c>
    </row>
    <row r="64" spans="1:43">
      <c r="A64" s="4">
        <v>91</v>
      </c>
      <c r="B64" s="26">
        <v>88</v>
      </c>
      <c r="C64" s="144">
        <v>60</v>
      </c>
      <c r="D64" s="84" t="s">
        <v>15</v>
      </c>
      <c r="E64" s="73" t="s">
        <v>26</v>
      </c>
      <c r="F64" s="73" t="s">
        <v>65</v>
      </c>
      <c r="G64" s="74">
        <v>1979</v>
      </c>
      <c r="H64" s="68">
        <f>'[2]тариф начисл. 2018 с янв'!$I$69</f>
        <v>2677.3</v>
      </c>
      <c r="I64" s="75" t="s">
        <v>40</v>
      </c>
      <c r="J64" s="75">
        <v>21.73</v>
      </c>
      <c r="K64" s="142">
        <v>213788.45999999996</v>
      </c>
      <c r="L64" s="70">
        <f>'[5]УК ЖЭУ-7 2020 год'!$L$86</f>
        <v>698132.64</v>
      </c>
      <c r="M64" s="70">
        <f>'[5]УК ЖЭУ-7 2020 год'!$M$86</f>
        <v>677769.38</v>
      </c>
      <c r="N64" s="70">
        <v>0</v>
      </c>
      <c r="O64" s="86">
        <f t="shared" si="8"/>
        <v>234151.71999999997</v>
      </c>
      <c r="P64" s="86"/>
      <c r="Q64" s="16">
        <v>2520.5500000000011</v>
      </c>
      <c r="R64" s="16">
        <f>4956.45+4798.32</f>
        <v>9754.77</v>
      </c>
      <c r="S64" s="16">
        <f>4233.87+998.6</f>
        <v>5232.47</v>
      </c>
      <c r="T64" s="16">
        <f t="shared" si="10"/>
        <v>7042.8500000000013</v>
      </c>
      <c r="U64" s="15">
        <f>'[3]тариф начисл. 2019 с янв'!$P$70</f>
        <v>2248.9299999999998</v>
      </c>
      <c r="V64" s="15">
        <f>'[3]тариф начисл. 2019 с янв'!$O$70+[3]авг!$F$70</f>
        <v>37046.81</v>
      </c>
      <c r="W64" s="15">
        <f>'[3]тариф начисл. 2019 с янв'!$N$70</f>
        <v>196299.64</v>
      </c>
      <c r="X64" s="15"/>
      <c r="Y64" s="15"/>
      <c r="Z64" s="15">
        <f>'[3]тариф начисл. 2019 с янв'!$AC$70</f>
        <v>321.27999999999997</v>
      </c>
      <c r="AA64" s="15">
        <f>'[3]тариф начисл. 2019 с янв'!$AD$70+'[3]тариф начисл. 2019 с янв'!$AE$70</f>
        <v>30199.94</v>
      </c>
      <c r="AB64" s="15">
        <f>'[3]тариф начисл. 2019 с янв'!$AA$70</f>
        <v>1285.0999999999999</v>
      </c>
      <c r="AC64" s="15">
        <f>'[3]тариф начисл. 2019 с янв'!$AB$70+[6]год!$F$70</f>
        <v>3115.25</v>
      </c>
      <c r="AD64" s="15">
        <f>'[3]тариф начисл. 2019 с янв'!$Z$70</f>
        <v>28272.29</v>
      </c>
      <c r="AE64" s="15">
        <f>'[3]тариф начисл. 2019 с янв'!$V$70</f>
        <v>104093.42</v>
      </c>
      <c r="AF64" s="15"/>
      <c r="AG64" s="15">
        <f>'[3]тариф начисл. 2019 с янв'!$BA$70</f>
        <v>46263.74</v>
      </c>
      <c r="AH64" s="16">
        <f t="shared" si="11"/>
        <v>449146.39999999991</v>
      </c>
      <c r="AI64" s="17">
        <f>'[3]тариф начисл. 2019 с янв'!$AJ$70</f>
        <v>99916.84</v>
      </c>
      <c r="AJ64" s="17">
        <f>'[3]тариф начисл. 2019 с янв'!$AO$70</f>
        <v>52367.99</v>
      </c>
      <c r="AK64" s="17">
        <f>'[3]тариф начисл. 2019 с янв'!$AS$70</f>
        <v>57508.4</v>
      </c>
      <c r="AL64" s="17">
        <f>'[3]тариф начисл. 2019 с янв'!$AW$70</f>
        <v>27308.46</v>
      </c>
      <c r="AM64" s="17">
        <f>'[3]тариф начисл. 2019 с янв'!$AZ$70</f>
        <v>46906.3</v>
      </c>
      <c r="AN64" s="16">
        <f t="shared" si="4"/>
        <v>284007.99</v>
      </c>
      <c r="AO64" s="16">
        <f t="shared" si="9"/>
        <v>733154.3899999999</v>
      </c>
      <c r="AP64" s="247">
        <f t="shared" si="5"/>
        <v>50152.539999999892</v>
      </c>
      <c r="AQ64" s="22">
        <f t="shared" si="6"/>
        <v>683001.85</v>
      </c>
    </row>
    <row r="65" spans="1:43">
      <c r="A65" s="4">
        <v>92</v>
      </c>
      <c r="B65" s="21">
        <v>89</v>
      </c>
      <c r="C65" s="144">
        <v>61</v>
      </c>
      <c r="D65" s="84" t="s">
        <v>15</v>
      </c>
      <c r="E65" s="73" t="s">
        <v>27</v>
      </c>
      <c r="F65" s="73" t="s">
        <v>65</v>
      </c>
      <c r="G65" s="74">
        <v>1979</v>
      </c>
      <c r="H65" s="68">
        <f>'[3]тариф начисл. 2019 с янв'!$I$71</f>
        <v>2687.5</v>
      </c>
      <c r="I65" s="75" t="s">
        <v>40</v>
      </c>
      <c r="J65" s="75">
        <v>21.73</v>
      </c>
      <c r="K65" s="142">
        <v>272372.23999999976</v>
      </c>
      <c r="L65" s="70">
        <f>'[5]УК ЖЭУ-7 2020 год'!$L$87</f>
        <v>700740.84</v>
      </c>
      <c r="M65" s="70">
        <f>'[5]УК ЖЭУ-7 2020 год'!$M$87</f>
        <v>747777.91</v>
      </c>
      <c r="N65" s="70">
        <v>0</v>
      </c>
      <c r="O65" s="86">
        <f t="shared" si="8"/>
        <v>225335.16999999969</v>
      </c>
      <c r="P65" s="86"/>
      <c r="Q65" s="16">
        <v>2520.5500000000011</v>
      </c>
      <c r="R65" s="16">
        <f>4956.45+4798.32</f>
        <v>9754.77</v>
      </c>
      <c r="S65" s="16">
        <f>4233.87+3998.6</f>
        <v>8232.4699999999993</v>
      </c>
      <c r="T65" s="16">
        <f t="shared" si="10"/>
        <v>4042.8500000000022</v>
      </c>
      <c r="U65" s="15">
        <f>'[3]тариф начисл. 2019 с янв'!$P$71</f>
        <v>2257.5</v>
      </c>
      <c r="V65" s="15">
        <f>'[3]тариф начисл. 2019 с янв'!$O$71+[3]авг!$F$71</f>
        <v>86383.14</v>
      </c>
      <c r="W65" s="15">
        <f>'[3]тариф начисл. 2019 с янв'!$N$71</f>
        <v>197047.5</v>
      </c>
      <c r="X65" s="15"/>
      <c r="Y65" s="15"/>
      <c r="Z65" s="15">
        <f>'[3]тариф начисл. 2019 с янв'!$AC$71</f>
        <v>322.5</v>
      </c>
      <c r="AA65" s="15">
        <f>'[3]тариф начисл. 2019 с янв'!$AD$71+'[3]тариф начисл. 2019 с янв'!$AE$71</f>
        <v>30315</v>
      </c>
      <c r="AB65" s="15">
        <f>'[3]тариф начисл. 2019 с янв'!$AA$71</f>
        <v>1290</v>
      </c>
      <c r="AC65" s="15">
        <f>'[3]тариф начисл. 2019 с янв'!$AB$71+[6]год!$F$71</f>
        <v>1539.33</v>
      </c>
      <c r="AD65" s="15">
        <f>'[3]тариф начисл. 2019 с янв'!$Z$71</f>
        <v>28380</v>
      </c>
      <c r="AE65" s="15">
        <f>'[3]тариф начисл. 2019 с янв'!$V$71</f>
        <v>104490</v>
      </c>
      <c r="AF65" s="15"/>
      <c r="AG65" s="15">
        <f>'[3]тариф начисл. 2019 с янв'!$BA$71</f>
        <v>46440</v>
      </c>
      <c r="AH65" s="16">
        <f t="shared" si="11"/>
        <v>498464.97000000003</v>
      </c>
      <c r="AI65" s="17">
        <f>'[3]тариф начисл. 2019 с янв'!$AJ$71</f>
        <v>100297.5</v>
      </c>
      <c r="AJ65" s="17">
        <f>'[3]тариф начисл. 2019 с янв'!$AO$71</f>
        <v>52567.5</v>
      </c>
      <c r="AK65" s="17">
        <f>'[3]тариф начисл. 2019 с янв'!$AS$71</f>
        <v>57727.5</v>
      </c>
      <c r="AL65" s="17">
        <f>'[3]тариф начисл. 2019 с янв'!$AW$71</f>
        <v>27412.5</v>
      </c>
      <c r="AM65" s="17">
        <f>'[3]тариф начисл. 2019 с янв'!$AZ$71</f>
        <v>47085</v>
      </c>
      <c r="AN65" s="16">
        <f t="shared" si="4"/>
        <v>285090</v>
      </c>
      <c r="AO65" s="16">
        <f t="shared" si="9"/>
        <v>783554.97</v>
      </c>
      <c r="AP65" s="247">
        <f t="shared" si="5"/>
        <v>27544.589999999938</v>
      </c>
      <c r="AQ65" s="22">
        <f t="shared" si="6"/>
        <v>756010.38</v>
      </c>
    </row>
    <row r="66" spans="1:43">
      <c r="A66" s="4">
        <v>88</v>
      </c>
      <c r="B66" s="20">
        <v>85</v>
      </c>
      <c r="C66" s="144">
        <v>62</v>
      </c>
      <c r="D66" s="84" t="s">
        <v>10</v>
      </c>
      <c r="E66" s="73" t="s">
        <v>28</v>
      </c>
      <c r="F66" s="74" t="s">
        <v>32</v>
      </c>
      <c r="G66" s="73">
        <v>1961</v>
      </c>
      <c r="H66" s="68">
        <f>'[2]тариф начисл. 2018 с янв'!$I$71</f>
        <v>2004.7</v>
      </c>
      <c r="I66" s="75" t="s">
        <v>40</v>
      </c>
      <c r="J66" s="75">
        <v>20.88</v>
      </c>
      <c r="K66" s="142">
        <v>94212.249999999942</v>
      </c>
      <c r="L66" s="70">
        <f>'[5]УК ЖЭУ-7 2020 год'!$L$94</f>
        <v>501984.48</v>
      </c>
      <c r="M66" s="70">
        <f>'[5]УК ЖЭУ-7 2020 год'!$M$94</f>
        <v>506038.64</v>
      </c>
      <c r="N66" s="70">
        <v>0</v>
      </c>
      <c r="O66" s="86">
        <f t="shared" si="8"/>
        <v>90158.089999999967</v>
      </c>
      <c r="P66" s="86"/>
      <c r="Q66" s="16">
        <v>1750</v>
      </c>
      <c r="R66" s="16">
        <v>8400</v>
      </c>
      <c r="S66" s="16">
        <v>8050</v>
      </c>
      <c r="T66" s="16">
        <f t="shared" si="10"/>
        <v>2100</v>
      </c>
      <c r="U66" s="15">
        <f>'[3]тариф начисл. 2019 с янв'!$P$72</f>
        <v>1683.95</v>
      </c>
      <c r="V66" s="15">
        <f>'[3]тариф начисл. 2019 с янв'!$O$72+[3]авг!$F$72</f>
        <v>54077.33</v>
      </c>
      <c r="W66" s="15">
        <f>'[3]тариф начисл. 2019 с янв'!$N$72</f>
        <v>146984.6</v>
      </c>
      <c r="X66" s="15"/>
      <c r="Y66" s="15"/>
      <c r="Z66" s="15">
        <f>'[3]тариф начисл. 2019 с янв'!$AC$72</f>
        <v>240.56</v>
      </c>
      <c r="AA66" s="15">
        <f>'[3]тариф начисл. 2019 с янв'!$AD$72+'[3]тариф начисл. 2019 с янв'!$AE$72</f>
        <v>22613.02</v>
      </c>
      <c r="AB66" s="15">
        <f>'[3]тариф начисл. 2019 с янв'!$AA$72</f>
        <v>962.26</v>
      </c>
      <c r="AC66" s="15">
        <f>'[3]тариф начисл. 2019 с янв'!$AB$72+[6]год!$F$72</f>
        <v>2303.71</v>
      </c>
      <c r="AD66" s="15">
        <f>'[3]тариф начисл. 2019 с янв'!$Z$72</f>
        <v>21169.63</v>
      </c>
      <c r="AE66" s="15">
        <f>'[3]тариф начисл. 2019 с янв'!$V$72</f>
        <v>77942.740000000005</v>
      </c>
      <c r="AF66" s="15"/>
      <c r="AG66" s="15">
        <f>'[3]тариф начисл. 2019 с янв'!$BA$72</f>
        <v>34641.22</v>
      </c>
      <c r="AH66" s="16">
        <f t="shared" si="11"/>
        <v>362619.02</v>
      </c>
      <c r="AI66" s="17">
        <f>'[6]тариф начисл. 2020 с янв'!$AJ$72</f>
        <v>74815.399999999994</v>
      </c>
      <c r="AJ66" s="17">
        <f>'[3]тариф начисл. 2019 с янв'!$AO$72</f>
        <v>39211.93</v>
      </c>
      <c r="AK66" s="17">
        <f>'[3]тариф начисл. 2019 с янв'!$AS$72</f>
        <v>22853.58</v>
      </c>
      <c r="AL66" s="17">
        <f>'[3]тариф начисл. 2019 с янв'!$AW$72</f>
        <v>20207.38</v>
      </c>
      <c r="AM66" s="17">
        <f>'[3]тариф начисл. 2019 с янв'!$AZ$72</f>
        <v>35122.339999999997</v>
      </c>
      <c r="AN66" s="16">
        <f t="shared" si="4"/>
        <v>192210.62999999998</v>
      </c>
      <c r="AO66" s="16">
        <f t="shared" si="9"/>
        <v>554829.65</v>
      </c>
      <c r="AP66" s="247">
        <f t="shared" si="5"/>
        <v>40741.010000000009</v>
      </c>
      <c r="AQ66" s="22">
        <f t="shared" si="6"/>
        <v>514088.64</v>
      </c>
    </row>
    <row r="67" spans="1:43">
      <c r="A67" s="4">
        <v>89</v>
      </c>
      <c r="B67" s="21">
        <v>86</v>
      </c>
      <c r="C67" s="144">
        <v>63</v>
      </c>
      <c r="D67" s="84" t="s">
        <v>11</v>
      </c>
      <c r="E67" s="73">
        <v>25</v>
      </c>
      <c r="F67" s="73" t="s">
        <v>65</v>
      </c>
      <c r="G67" s="74">
        <v>1975</v>
      </c>
      <c r="H67" s="68">
        <f>'[3]тариф начисл. 2019 с янв'!$I$73</f>
        <v>5334.9</v>
      </c>
      <c r="I67" s="75" t="s">
        <v>40</v>
      </c>
      <c r="J67" s="75">
        <v>20.88</v>
      </c>
      <c r="K67" s="142">
        <v>228817.71999999997</v>
      </c>
      <c r="L67" s="70">
        <f>'[5]УК ЖЭУ-7 2020 год'!$L$88</f>
        <v>1333405.08</v>
      </c>
      <c r="M67" s="70">
        <f>'[5]УК ЖЭУ-7 2020 год'!$M$88</f>
        <v>1253050.83</v>
      </c>
      <c r="N67" s="70">
        <v>0</v>
      </c>
      <c r="O67" s="86">
        <f t="shared" si="8"/>
        <v>309171.96999999997</v>
      </c>
      <c r="P67" s="86"/>
      <c r="Q67" s="16">
        <v>3445.2699999999968</v>
      </c>
      <c r="R67" s="16">
        <f>21906.6+4956.45+8497.22</f>
        <v>35360.269999999997</v>
      </c>
      <c r="S67" s="16">
        <f>21906.6+4233.87+81.02</f>
        <v>26221.489999999998</v>
      </c>
      <c r="T67" s="16">
        <f t="shared" si="10"/>
        <v>12584.049999999996</v>
      </c>
      <c r="U67" s="15">
        <f>'[3]тариф начисл. 2019 с янв'!$P$73</f>
        <v>4481.32</v>
      </c>
      <c r="V67" s="15">
        <f>'[3]тариф начисл. 2019 с янв'!$O$73+[3]авг!$F$73</f>
        <v>48525.020000000004</v>
      </c>
      <c r="W67" s="15">
        <f>'[3]тариф начисл. 2019 с янв'!$N$73</f>
        <v>391154.87</v>
      </c>
      <c r="X67" s="15"/>
      <c r="Y67" s="15"/>
      <c r="Z67" s="15">
        <f>'[3]тариф начисл. 2019 с янв'!$AC$73</f>
        <v>640.19000000000005</v>
      </c>
      <c r="AA67" s="15">
        <f>'[3]тариф начисл. 2019 с янв'!$AD$73+'[3]тариф начисл. 2019 с янв'!$AE$73</f>
        <v>60177.68</v>
      </c>
      <c r="AB67" s="15">
        <f>'[3]тариф начисл. 2019 с янв'!$AA$73</f>
        <v>2560.75</v>
      </c>
      <c r="AC67" s="15">
        <f>'[6]тариф начисл. 2020 с янв'!$AB$73+[6]год!$F$73</f>
        <v>2774.92</v>
      </c>
      <c r="AD67" s="15">
        <f>'[3]тариф начисл. 2019 с янв'!$Z$73</f>
        <v>56336.54</v>
      </c>
      <c r="AE67" s="15">
        <f>'[3]тариф начисл. 2019 с янв'!$V$73</f>
        <v>207420.91</v>
      </c>
      <c r="AF67" s="15"/>
      <c r="AG67" s="15">
        <f>'[3]тариф начисл. 2019 с янв'!$BA$73</f>
        <v>92187.07</v>
      </c>
      <c r="AH67" s="16">
        <f t="shared" si="11"/>
        <v>866259.27</v>
      </c>
      <c r="AI67" s="17">
        <f>'[6]тариф начисл. 2020 с янв'!$AJ$73</f>
        <v>199098.47</v>
      </c>
      <c r="AJ67" s="17">
        <f>'[3]тариф начисл. 2019 с янв'!$AO$73</f>
        <v>104350.64</v>
      </c>
      <c r="AK67" s="17">
        <f>'[3]тариф начисл. 2019 с янв'!$AS$73</f>
        <v>60817.86</v>
      </c>
      <c r="AL67" s="17">
        <f>'[3]тариф начисл. 2019 с янв'!$AW$73</f>
        <v>53775.79</v>
      </c>
      <c r="AM67" s="17">
        <f>'[3]тариф начисл. 2019 с янв'!$AZ$73</f>
        <v>93467.45</v>
      </c>
      <c r="AN67" s="16">
        <f t="shared" si="4"/>
        <v>511510.20999999996</v>
      </c>
      <c r="AO67" s="16">
        <f t="shared" si="9"/>
        <v>1377769.48</v>
      </c>
      <c r="AP67" s="249">
        <f t="shared" si="5"/>
        <v>98497.159999999916</v>
      </c>
      <c r="AQ67" s="22">
        <f t="shared" si="6"/>
        <v>1279272.32</v>
      </c>
    </row>
    <row r="68" spans="1:43">
      <c r="A68" s="4">
        <v>90</v>
      </c>
      <c r="B68" s="25">
        <v>87</v>
      </c>
      <c r="C68" s="144">
        <v>64</v>
      </c>
      <c r="D68" s="84" t="s">
        <v>13</v>
      </c>
      <c r="E68" s="74" t="s">
        <v>29</v>
      </c>
      <c r="F68" s="74" t="s">
        <v>67</v>
      </c>
      <c r="G68" s="74">
        <v>1984</v>
      </c>
      <c r="H68" s="68">
        <f>'[2]тариф начисл. 2018 с янв'!$I$73</f>
        <v>2213.5</v>
      </c>
      <c r="I68" s="75" t="s">
        <v>40</v>
      </c>
      <c r="J68" s="75">
        <v>20.88</v>
      </c>
      <c r="K68" s="142">
        <v>93316.319999999832</v>
      </c>
      <c r="L68" s="70">
        <f>'[5]УК ЖЭУ-7 2020 год'!$J$92</f>
        <v>555539.88</v>
      </c>
      <c r="M68" s="70">
        <f>'[5]УК ЖЭУ-7 2020 год'!$M$92</f>
        <v>549151.43000000005</v>
      </c>
      <c r="N68" s="70">
        <f>'[5]УК ЖЭУ-7 2020 год'!$K$92</f>
        <v>100.16</v>
      </c>
      <c r="O68" s="86">
        <f t="shared" ref="O68:O84" si="12">K68+L68-M68+N68</f>
        <v>99804.929999999789</v>
      </c>
      <c r="P68" s="86"/>
      <c r="Q68" s="16">
        <v>1750</v>
      </c>
      <c r="R68" s="16">
        <v>8400</v>
      </c>
      <c r="S68" s="16">
        <v>8050</v>
      </c>
      <c r="T68" s="16">
        <f t="shared" si="10"/>
        <v>2100</v>
      </c>
      <c r="U68" s="15">
        <f>'[3]тариф начисл. 2019 с янв'!$P$74</f>
        <v>1862.28</v>
      </c>
      <c r="V68" s="15">
        <f>'[3]тариф начисл. 2019 с янв'!$O$74+[3]авг!$F$74</f>
        <v>59784.24</v>
      </c>
      <c r="W68" s="15">
        <f>'[3]тариф начисл. 2019 с янв'!$N$74</f>
        <v>162550.44</v>
      </c>
      <c r="X68" s="15"/>
      <c r="Y68" s="15"/>
      <c r="Z68" s="15">
        <f>'[3]тариф начисл. 2019 с янв'!$AC$74</f>
        <v>266.04000000000002</v>
      </c>
      <c r="AA68" s="15">
        <f>'[3]тариф начисл. 2019 с янв'!$AD$74+'[3]тариф начисл. 2019 с янв'!$AE$74</f>
        <v>25007.759999999998</v>
      </c>
      <c r="AB68" s="15">
        <f>'[3]тариф начисл. 2019 с янв'!$AA$74</f>
        <v>1064.1600000000001</v>
      </c>
      <c r="AC68" s="15">
        <f>'[3]тариф начисл. 2019 с янв'!$AB$74+[6]год!$F$74</f>
        <v>1329.08</v>
      </c>
      <c r="AD68" s="15">
        <f>'[3]тариф начисл. 2019 с янв'!$Z$74</f>
        <v>23411.52</v>
      </c>
      <c r="AE68" s="15">
        <f>'[3]тариф начисл. 2019 с янв'!$V$74</f>
        <v>86196.96</v>
      </c>
      <c r="AF68" s="15"/>
      <c r="AG68" s="15">
        <f>'[3]тариф начисл. 2019 с янв'!$BA$74</f>
        <v>38309.760000000002</v>
      </c>
      <c r="AH68" s="16">
        <f t="shared" si="11"/>
        <v>399782.24000000005</v>
      </c>
      <c r="AI68" s="17">
        <f>'[3]тариф начисл. 2019 с янв'!$AJ$74</f>
        <v>82738.44</v>
      </c>
      <c r="AJ68" s="17">
        <f>'[3]тариф начисл. 2019 с янв'!$AO$74</f>
        <v>43364.52</v>
      </c>
      <c r="AK68" s="17">
        <f>'[3]тариф начисл. 2019 с янв'!$AS$74</f>
        <v>25273.8</v>
      </c>
      <c r="AL68" s="17">
        <f>'[3]тариф начисл. 2019 с янв'!$AW$74</f>
        <v>22347.360000000001</v>
      </c>
      <c r="AM68" s="17">
        <f>'[3]тариф начисл. 2019 с янв'!$AZ$74</f>
        <v>38841.839999999997</v>
      </c>
      <c r="AN68" s="16">
        <f t="shared" si="4"/>
        <v>212565.96</v>
      </c>
      <c r="AO68" s="16">
        <f t="shared" si="9"/>
        <v>612348.20000000007</v>
      </c>
      <c r="AP68" s="247">
        <f t="shared" si="5"/>
        <v>55146.770000000019</v>
      </c>
      <c r="AQ68" s="22">
        <f t="shared" si="6"/>
        <v>557201.43000000005</v>
      </c>
    </row>
    <row r="69" spans="1:43">
      <c r="A69" s="4"/>
      <c r="B69" s="25"/>
      <c r="C69" s="144">
        <v>65</v>
      </c>
      <c r="D69" s="84" t="s">
        <v>109</v>
      </c>
      <c r="E69" s="74">
        <v>4</v>
      </c>
      <c r="F69" s="110" t="s">
        <v>107</v>
      </c>
      <c r="G69" s="74">
        <v>1971</v>
      </c>
      <c r="H69" s="68">
        <f>'[2]тариф начисл. 2018 с янв'!$I$75</f>
        <v>2719.9</v>
      </c>
      <c r="I69" s="75" t="s">
        <v>40</v>
      </c>
      <c r="J69" s="75">
        <v>21.73</v>
      </c>
      <c r="K69" s="142">
        <v>142504.53999999992</v>
      </c>
      <c r="L69" s="70">
        <f>'[5]УК ЖЭУ-7 2020 год'!$L$53</f>
        <v>685270.88</v>
      </c>
      <c r="M69" s="70">
        <f>'[5]УК ЖЭУ-7 2020 год'!$M$53</f>
        <v>665041.49</v>
      </c>
      <c r="N69" s="70">
        <v>0</v>
      </c>
      <c r="O69" s="86">
        <f t="shared" si="12"/>
        <v>162733.92999999993</v>
      </c>
      <c r="P69" s="86"/>
      <c r="Q69" s="16">
        <v>2279.119999999999</v>
      </c>
      <c r="R69" s="16">
        <v>24978.48</v>
      </c>
      <c r="S69" s="16">
        <v>24978.48</v>
      </c>
      <c r="T69" s="16">
        <f t="shared" si="10"/>
        <v>2279.119999999999</v>
      </c>
      <c r="U69" s="15">
        <f>'[3]тариф начисл. 2019 с янв'!$P$76</f>
        <v>2284.7199999999998</v>
      </c>
      <c r="V69" s="15">
        <f>'[3]тариф начисл. 2019 с янв'!$O$76+[3]авг!$F$76</f>
        <v>52298.81</v>
      </c>
      <c r="W69" s="15">
        <f>'[3]тариф начисл. 2019 с янв'!$N$76</f>
        <v>199423.07</v>
      </c>
      <c r="X69" s="15"/>
      <c r="Y69" s="15"/>
      <c r="Z69" s="15">
        <f>'[3]тариф начисл. 2019 с янв'!$AC$76</f>
        <v>326.39</v>
      </c>
      <c r="AA69" s="15">
        <f>'[3]тариф начисл. 2019 с янв'!$AD$76+'[3]тариф начисл. 2019 с янв'!$AE$76</f>
        <v>30680.48</v>
      </c>
      <c r="AB69" s="15">
        <f>'[3]тариф начисл. 2019 с янв'!$AA$76</f>
        <v>1305.55</v>
      </c>
      <c r="AC69" s="15">
        <f>'[6]тариф начисл. 2020 с янв'!$AB$76+[6]год!$F$76</f>
        <v>3000.02</v>
      </c>
      <c r="AD69" s="15">
        <f>'[3]тариф начисл. 2019 с янв'!$Z$76</f>
        <v>28722.14</v>
      </c>
      <c r="AE69" s="15">
        <f>'[3]тариф начисл. 2019 с янв'!$V$76</f>
        <v>105749.71</v>
      </c>
      <c r="AF69" s="15"/>
      <c r="AG69" s="15">
        <f>'[3]тариф начисл. 2019 с янв'!$BA$76</f>
        <v>46999.87</v>
      </c>
      <c r="AH69" s="16">
        <f t="shared" si="11"/>
        <v>470790.76000000007</v>
      </c>
      <c r="AI69" s="17">
        <f>'[3]тариф начисл. 2019 с янв'!$AJ$76+[6]год!$R$76</f>
        <v>102606.67</v>
      </c>
      <c r="AJ69" s="17">
        <f>'[3]тариф начисл. 2019 с янв'!$AO$76</f>
        <v>53201.24</v>
      </c>
      <c r="AK69" s="17">
        <f>'[3]тариф начисл. 2019 с янв'!$AS$76</f>
        <v>58423.45</v>
      </c>
      <c r="AL69" s="17">
        <f>'[3]тариф начисл. 2019 с янв'!$AW$76</f>
        <v>27742.98</v>
      </c>
      <c r="AM69" s="17">
        <f>'[3]тариф начисл. 2019 с янв'!$AZ$76</f>
        <v>47652.65</v>
      </c>
      <c r="AN69" s="16">
        <f t="shared" ref="AN69:AN84" si="13">SUM(AI69:AM69)</f>
        <v>289626.99</v>
      </c>
      <c r="AO69" s="16">
        <f t="shared" si="9"/>
        <v>760417.75</v>
      </c>
      <c r="AP69" s="247">
        <f t="shared" ref="AP69:AP84" si="14">AO69-M69-S69</f>
        <v>70397.780000000013</v>
      </c>
      <c r="AQ69" s="22">
        <f t="shared" ref="AQ69:AQ84" si="15">M69+S69</f>
        <v>690019.97</v>
      </c>
    </row>
    <row r="70" spans="1:43">
      <c r="A70" s="4"/>
      <c r="B70" s="25"/>
      <c r="C70" s="144">
        <v>66</v>
      </c>
      <c r="D70" s="84" t="s">
        <v>116</v>
      </c>
      <c r="E70" s="138" t="s">
        <v>117</v>
      </c>
      <c r="F70" s="110" t="s">
        <v>121</v>
      </c>
      <c r="G70" s="74">
        <v>2014</v>
      </c>
      <c r="H70" s="68">
        <f>'[2]тариф начисл. 2018 с янв'!$I$76</f>
        <v>3729.5</v>
      </c>
      <c r="I70" s="139" t="s">
        <v>40</v>
      </c>
      <c r="J70" s="75">
        <v>25.92</v>
      </c>
      <c r="K70" s="142">
        <v>186532.42999999993</v>
      </c>
      <c r="L70" s="70">
        <f>'[5]УК ЖЭУ-7 2020 год'!$L$51</f>
        <v>1160023.68</v>
      </c>
      <c r="M70" s="70">
        <f>'[5]УК ЖЭУ-7 2020 год'!$M$51</f>
        <v>1130967.22</v>
      </c>
      <c r="N70" s="70">
        <v>0</v>
      </c>
      <c r="O70" s="86">
        <f t="shared" si="12"/>
        <v>215588.8899999999</v>
      </c>
      <c r="P70" s="86"/>
      <c r="Q70" s="16">
        <v>0</v>
      </c>
      <c r="R70" s="16">
        <v>0</v>
      </c>
      <c r="S70" s="16">
        <v>0</v>
      </c>
      <c r="T70" s="16">
        <f t="shared" si="10"/>
        <v>0</v>
      </c>
      <c r="U70" s="15">
        <f>'[3]тариф начисл. 2019 с янв'!$P$77</f>
        <v>3132.78</v>
      </c>
      <c r="V70" s="15">
        <f>'[3]тариф начисл. 2019 с янв'!$O$77+[3]авг!$F$77</f>
        <v>6666.7000000000007</v>
      </c>
      <c r="W70" s="15">
        <f>'[3]тариф начисл. 2019 с янв'!$N$77</f>
        <v>186624.18</v>
      </c>
      <c r="X70" s="15"/>
      <c r="Y70" s="15">
        <f>'[3]тариф начисл. 2019 с янв'!$BE$77+[6]год!$Z$77</f>
        <v>372065.52</v>
      </c>
      <c r="Z70" s="15">
        <f>'[3]тариф начисл. 2019 с янв'!$AC$77</f>
        <v>447.54</v>
      </c>
      <c r="AA70" s="15">
        <f>'[3]тариф начисл. 2019 с янв'!$AD$77+'[3]тариф начисл. 2019 с янв'!$AE$77</f>
        <v>42068.76</v>
      </c>
      <c r="AB70" s="15">
        <f>'[3]тариф начисл. 2019 с янв'!$AA$77</f>
        <v>1790.16</v>
      </c>
      <c r="AC70" s="15">
        <f>'[3]тариф начисл. 2019 с янв'!$AB$77+[6]год!$F$77</f>
        <v>1342.62</v>
      </c>
      <c r="AD70" s="15">
        <f>'[3]тариф начисл. 2019 с янв'!$Z$77</f>
        <v>39383.519999999997</v>
      </c>
      <c r="AE70" s="15">
        <f>'[3]тариф начисл. 2019 с янв'!$V$77</f>
        <v>145002.96</v>
      </c>
      <c r="AF70" s="15"/>
      <c r="AG70" s="15">
        <f>'[3]тариф начисл. 2019 с янв'!$BA$77</f>
        <v>64445.760000000002</v>
      </c>
      <c r="AH70" s="16">
        <f t="shared" si="11"/>
        <v>862970.50000000012</v>
      </c>
      <c r="AI70" s="17">
        <f>'[6]тариф начисл. 2020 с янв'!$AJ$77+[6]год!$R$77</f>
        <v>106930.94</v>
      </c>
      <c r="AJ70" s="17">
        <f>'[3]тариф начисл. 2019 с янв'!$AO$77</f>
        <v>72949.02</v>
      </c>
      <c r="AK70" s="17">
        <f>'[3]тариф начисл. 2019 с янв'!$AS$77</f>
        <v>80109.66</v>
      </c>
      <c r="AL70" s="17">
        <f>'[3]тариф начисл. 2019 с янв'!$AW$77</f>
        <v>38040.9</v>
      </c>
      <c r="AM70" s="17">
        <f>'[6]тариф начисл. 2020 с янв'!$AZ$77</f>
        <v>65340.84</v>
      </c>
      <c r="AN70" s="16">
        <f t="shared" si="13"/>
        <v>363371.36</v>
      </c>
      <c r="AO70" s="16">
        <f t="shared" si="9"/>
        <v>1226341.8600000001</v>
      </c>
      <c r="AP70" s="247">
        <f t="shared" si="14"/>
        <v>95374.64000000013</v>
      </c>
      <c r="AQ70" s="22">
        <f t="shared" si="15"/>
        <v>1130967.22</v>
      </c>
    </row>
    <row r="71" spans="1:43">
      <c r="A71" s="4"/>
      <c r="B71" s="25"/>
      <c r="C71" s="144">
        <v>67</v>
      </c>
      <c r="D71" s="84" t="s">
        <v>113</v>
      </c>
      <c r="E71" s="129" t="s">
        <v>112</v>
      </c>
      <c r="F71" s="110" t="s">
        <v>121</v>
      </c>
      <c r="G71" s="74">
        <v>2015</v>
      </c>
      <c r="H71" s="68">
        <f>'[3]тариф начисл. 2019 с янв'!$I$78</f>
        <v>4752.5</v>
      </c>
      <c r="I71" s="75" t="s">
        <v>40</v>
      </c>
      <c r="J71" s="75">
        <v>25.92</v>
      </c>
      <c r="K71" s="142">
        <v>395109.29999999987</v>
      </c>
      <c r="L71" s="70">
        <f>'[5]УК ЖЭУ-7 2020 год'!$L$52</f>
        <v>1321359.48</v>
      </c>
      <c r="M71" s="70">
        <f>'[5]УК ЖЭУ-7 2020 год'!$M$52</f>
        <v>1304604.3999999999</v>
      </c>
      <c r="N71" s="70">
        <v>0</v>
      </c>
      <c r="O71" s="86">
        <f t="shared" si="12"/>
        <v>411864.37999999989</v>
      </c>
      <c r="P71" s="86"/>
      <c r="Q71" s="16">
        <v>5068.5400000000373</v>
      </c>
      <c r="R71" s="16">
        <f>60517.92+49144.32+15288.18</f>
        <v>124950.41999999998</v>
      </c>
      <c r="S71" s="16">
        <f>59308+45048.96+14801.23</f>
        <v>119158.18999999999</v>
      </c>
      <c r="T71" s="16">
        <f t="shared" si="10"/>
        <v>10860.770000000033</v>
      </c>
      <c r="U71" s="15">
        <f>'[3]тариф начисл. 2019 с янв'!$P$78</f>
        <v>3992.1</v>
      </c>
      <c r="V71" s="15">
        <f>'[3]тариф начисл. 2019 с янв'!$O$78+[3]авг!$F$78</f>
        <v>8262.58</v>
      </c>
      <c r="W71" s="15">
        <f>'[3]тариф начисл. 2019 с янв'!$N$78</f>
        <v>237815.1</v>
      </c>
      <c r="X71" s="15"/>
      <c r="Y71" s="15">
        <f>'[3]тариф начисл. 2019 с янв'!$BE$78+[6]год!$Z$78</f>
        <v>437637.4</v>
      </c>
      <c r="Z71" s="15">
        <f>'[3]тариф начисл. 2019 с янв'!$AC$78</f>
        <v>570.29999999999995</v>
      </c>
      <c r="AA71" s="15">
        <f>'[3]тариф начисл. 2019 с янв'!$AD$78+'[3]тариф начисл. 2019 с янв'!$AE$78</f>
        <v>53608.2</v>
      </c>
      <c r="AB71" s="15">
        <f>'[3]тариф начисл. 2019 с янв'!$AA$78</f>
        <v>2281.1999999999998</v>
      </c>
      <c r="AC71" s="15">
        <f>'[3]тариф начисл. 2019 с янв'!$AB$78</f>
        <v>1710.9</v>
      </c>
      <c r="AD71" s="15">
        <f>'[3]тариф начисл. 2019 с янв'!$Z$78</f>
        <v>50186.400000000001</v>
      </c>
      <c r="AE71" s="15">
        <f>'[3]тариф начисл. 2019 с янв'!$V$78</f>
        <v>184777.2</v>
      </c>
      <c r="AF71" s="15"/>
      <c r="AG71" s="15">
        <f>'[3]тариф начисл. 2019 с янв'!$BA$78</f>
        <v>82123.199999999997</v>
      </c>
      <c r="AH71" s="16">
        <f t="shared" si="11"/>
        <v>1062964.58</v>
      </c>
      <c r="AI71" s="17">
        <f>'[6]тариф начисл. 2020 с янв'!$AJ$78+[6]год!$R$78</f>
        <v>132833.29999999999</v>
      </c>
      <c r="AJ71" s="17">
        <f>'[3]тариф начисл. 2019 с янв'!$AO$78</f>
        <v>92958.9</v>
      </c>
      <c r="AK71" s="17">
        <f>'[3]тариф начисл. 2019 с янв'!$AS$78</f>
        <v>102083.7</v>
      </c>
      <c r="AL71" s="17">
        <f>'[3]тариф начисл. 2019 с янв'!$AW$78</f>
        <v>48475.5</v>
      </c>
      <c r="AM71" s="17">
        <f>'[6]тариф начисл. 2020 с янв'!$AZ$78</f>
        <v>83263.8</v>
      </c>
      <c r="AN71" s="16">
        <f t="shared" si="13"/>
        <v>459615.19999999995</v>
      </c>
      <c r="AO71" s="16">
        <f t="shared" si="9"/>
        <v>1522579.78</v>
      </c>
      <c r="AP71" s="257">
        <f t="shared" si="14"/>
        <v>98817.190000000133</v>
      </c>
      <c r="AQ71" s="22">
        <f t="shared" si="15"/>
        <v>1423762.5899999999</v>
      </c>
    </row>
    <row r="72" spans="1:43">
      <c r="A72" s="4"/>
      <c r="B72" s="25"/>
      <c r="C72" s="144">
        <v>68</v>
      </c>
      <c r="D72" s="84" t="s">
        <v>118</v>
      </c>
      <c r="E72" s="129" t="s">
        <v>119</v>
      </c>
      <c r="F72" s="110" t="s">
        <v>121</v>
      </c>
      <c r="G72" s="74">
        <v>2016</v>
      </c>
      <c r="H72" s="68">
        <f>'[3]тариф начисл. 2019 с янв'!$I$79</f>
        <v>3924.1</v>
      </c>
      <c r="I72" s="139" t="s">
        <v>40</v>
      </c>
      <c r="J72" s="75">
        <v>25.92</v>
      </c>
      <c r="K72" s="142">
        <v>337324.45999999996</v>
      </c>
      <c r="L72" s="70">
        <f>'[5]УК ЖЭУ-7 2020 год'!$L$54</f>
        <v>1225191.8899999999</v>
      </c>
      <c r="M72" s="70">
        <f>'[5]УК ЖЭУ-7 2020 год'!$M$54</f>
        <v>1190998.8400000001</v>
      </c>
      <c r="N72" s="70">
        <v>0</v>
      </c>
      <c r="O72" s="86">
        <f t="shared" si="12"/>
        <v>371517.50999999978</v>
      </c>
      <c r="P72" s="86"/>
      <c r="Q72" s="16">
        <v>0</v>
      </c>
      <c r="R72" s="16">
        <v>0</v>
      </c>
      <c r="S72" s="16">
        <v>0</v>
      </c>
      <c r="T72" s="16">
        <f t="shared" si="10"/>
        <v>0</v>
      </c>
      <c r="U72" s="15">
        <f>'[3]тариф начисл. 2019 с янв'!$P$79</f>
        <v>3296.24</v>
      </c>
      <c r="V72" s="15">
        <f>'[3]тариф начисл. 2019 с янв'!$O$79+[3]авг!$F$79</f>
        <v>13395.900000000001</v>
      </c>
      <c r="W72" s="15">
        <f>'[3]тариф начисл. 2019 с янв'!$N$79</f>
        <v>196361.96</v>
      </c>
      <c r="X72" s="15"/>
      <c r="Y72" s="15">
        <f>'[3]тариф начисл. 2019 с янв'!$BE$79+[6]год!$Z$79</f>
        <v>336646</v>
      </c>
      <c r="Z72" s="15">
        <f>'[3]тариф начисл. 2019 с янв'!$AC$79</f>
        <v>470.89</v>
      </c>
      <c r="AA72" s="15">
        <f>'[3]тариф начисл. 2019 с янв'!$AD$79+'[3]тариф начисл. 2019 с янв'!$AE$79</f>
        <v>44263.839999999997</v>
      </c>
      <c r="AB72" s="15">
        <f>'[3]тариф начисл. 2019 с янв'!$AA$79</f>
        <v>1883.57</v>
      </c>
      <c r="AC72" s="15">
        <f>'[3]тариф начисл. 2019 с янв'!$AB$79</f>
        <v>1412.68</v>
      </c>
      <c r="AD72" s="15">
        <f>'[3]тариф начисл. 2019 с янв'!$Z$79</f>
        <v>41438.5</v>
      </c>
      <c r="AE72" s="15">
        <f>'[3]тариф начисл. 2019 с янв'!$V$79</f>
        <v>152569.01</v>
      </c>
      <c r="AF72" s="15"/>
      <c r="AG72" s="15">
        <f>'[3]тариф начисл. 2019 с янв'!$BA$79</f>
        <v>67808.45</v>
      </c>
      <c r="AH72" s="16">
        <f t="shared" si="11"/>
        <v>859547.03999999992</v>
      </c>
      <c r="AI72" s="17">
        <f>'[6]тариф начисл. 2020 с янв'!$AJ$79</f>
        <v>99358.21</v>
      </c>
      <c r="AJ72" s="17">
        <f>'[3]тариф начисл. 2019 с янв'!$AO$79</f>
        <v>76755.399999999994</v>
      </c>
      <c r="AK72" s="17">
        <f>'[3]тариф начисл. 2019 с янв'!$AS$79</f>
        <v>84289.67</v>
      </c>
      <c r="AL72" s="17">
        <f>'[3]тариф начисл. 2019 с янв'!$AW$79</f>
        <v>40025.82</v>
      </c>
      <c r="AM72" s="17">
        <f>'[6]тариф начисл. 2020 с янв'!$AZ$79</f>
        <v>68750.23</v>
      </c>
      <c r="AN72" s="16">
        <f t="shared" si="13"/>
        <v>369179.32999999996</v>
      </c>
      <c r="AO72" s="16">
        <f t="shared" si="9"/>
        <v>1228726.3699999999</v>
      </c>
      <c r="AP72" s="249">
        <f t="shared" si="14"/>
        <v>37727.529999999795</v>
      </c>
      <c r="AQ72" s="22">
        <f t="shared" si="15"/>
        <v>1190998.8400000001</v>
      </c>
    </row>
    <row r="73" spans="1:43">
      <c r="A73" s="4"/>
      <c r="B73" s="25"/>
      <c r="C73" s="144">
        <v>69</v>
      </c>
      <c r="D73" s="84" t="s">
        <v>118</v>
      </c>
      <c r="E73" s="129" t="s">
        <v>122</v>
      </c>
      <c r="F73" s="110" t="s">
        <v>121</v>
      </c>
      <c r="G73" s="74">
        <v>2017</v>
      </c>
      <c r="H73" s="68">
        <f>'[3]тариф начисл. 2019 с янв'!$I$80</f>
        <v>1926.3</v>
      </c>
      <c r="I73" s="139" t="s">
        <v>40</v>
      </c>
      <c r="J73" s="75">
        <v>25.92</v>
      </c>
      <c r="K73" s="142">
        <v>235374.33999999991</v>
      </c>
      <c r="L73" s="70">
        <f>'[5]УК ЖЭУ-7 2020 год'!$L$55</f>
        <v>602536.18000000005</v>
      </c>
      <c r="M73" s="70">
        <f>'[5]УК ЖЭУ-7 2020 год'!$M$55</f>
        <v>648971.13</v>
      </c>
      <c r="N73" s="70">
        <v>0</v>
      </c>
      <c r="O73" s="86">
        <f t="shared" si="12"/>
        <v>188939.39</v>
      </c>
      <c r="P73" s="86"/>
      <c r="Q73" s="16">
        <v>0</v>
      </c>
      <c r="R73" s="16">
        <v>0</v>
      </c>
      <c r="S73" s="16">
        <v>0</v>
      </c>
      <c r="T73" s="16">
        <f t="shared" si="10"/>
        <v>0</v>
      </c>
      <c r="U73" s="15">
        <f>'[3]тариф начисл. 2019 с янв'!$P$80</f>
        <v>1618.09</v>
      </c>
      <c r="V73" s="15">
        <f>'[3]тариф начисл. 2019 с янв'!$O$80+[3]авг!$F$80</f>
        <v>10279.33</v>
      </c>
      <c r="W73" s="15">
        <f>'[3]тариф начисл. 2019 с янв'!$N$80</f>
        <v>141236.32</v>
      </c>
      <c r="X73" s="15"/>
      <c r="Y73" s="15">
        <f>'[3]тариф начисл. 2019 с янв'!$BE$80+[6]год!$Z$80</f>
        <v>165714.23000000001</v>
      </c>
      <c r="Z73" s="15">
        <f>'[3]тариф начисл. 2019 с янв'!$AC$80</f>
        <v>231.16</v>
      </c>
      <c r="AA73" s="15">
        <f>'[3]тариф начисл. 2019 с янв'!$AD$80+'[3]тариф начисл. 2019 с янв'!$AE$80</f>
        <v>21728.66</v>
      </c>
      <c r="AB73" s="15">
        <f>'[3]тариф начисл. 2019 с янв'!$AA$80</f>
        <v>924.62</v>
      </c>
      <c r="AC73" s="15">
        <f>'[3]тариф начисл. 2019 с янв'!$AB$80</f>
        <v>693.47</v>
      </c>
      <c r="AD73" s="15">
        <f>'[3]тариф начисл. 2019 с янв'!$Z$80</f>
        <v>20341.73</v>
      </c>
      <c r="AE73" s="15">
        <f>'[3]тариф начисл. 2019 с янв'!$V$80</f>
        <v>74894.539999999994</v>
      </c>
      <c r="AF73" s="15"/>
      <c r="AG73" s="15">
        <f>'[3]тариф начисл. 2019 с янв'!$BA$80</f>
        <v>33286.46</v>
      </c>
      <c r="AH73" s="16">
        <f t="shared" si="11"/>
        <v>470948.60999999993</v>
      </c>
      <c r="AI73" s="17">
        <f>'[3]тариф начисл. 2019 с янв'!$AJ$80</f>
        <v>48773.919999999998</v>
      </c>
      <c r="AJ73" s="17">
        <f>'[3]тариф начисл. 2019 с янв'!$AO$80+[6]дек!$V$80</f>
        <v>91993.43</v>
      </c>
      <c r="AK73" s="17">
        <f>'[3]тариф начисл. 2019 с янв'!$AS$80</f>
        <v>41376.92</v>
      </c>
      <c r="AL73" s="17">
        <f>'[3]тариф начисл. 2019 с янв'!$AW$80</f>
        <v>19648.259999999998</v>
      </c>
      <c r="AM73" s="17">
        <f>'[3]тариф начисл. 2019 с янв'!$AZ$80</f>
        <v>33748.78</v>
      </c>
      <c r="AN73" s="16">
        <f t="shared" si="13"/>
        <v>235541.30999999997</v>
      </c>
      <c r="AO73" s="16">
        <f t="shared" si="9"/>
        <v>706489.91999999993</v>
      </c>
      <c r="AP73" s="255">
        <f t="shared" si="14"/>
        <v>57518.789999999921</v>
      </c>
      <c r="AQ73" s="22">
        <f t="shared" si="15"/>
        <v>648971.13</v>
      </c>
    </row>
    <row r="74" spans="1:43">
      <c r="A74" s="4"/>
      <c r="B74" s="25"/>
      <c r="C74" s="144">
        <v>70</v>
      </c>
      <c r="D74" s="84" t="s">
        <v>110</v>
      </c>
      <c r="E74" s="74">
        <v>13</v>
      </c>
      <c r="F74" s="110" t="s">
        <v>107</v>
      </c>
      <c r="G74" s="74">
        <v>1979</v>
      </c>
      <c r="H74" s="68">
        <f>'[2]тариф начисл. 2018 с янв'!$I$80</f>
        <v>2665</v>
      </c>
      <c r="I74" s="75" t="s">
        <v>40</v>
      </c>
      <c r="J74" s="75">
        <v>21.73</v>
      </c>
      <c r="K74" s="142">
        <v>91998.290000000037</v>
      </c>
      <c r="L74" s="70">
        <f>'[5]УК ЖЭУ-7 2020 год'!$L$96</f>
        <v>675942.6</v>
      </c>
      <c r="M74" s="70">
        <f>'[5]УК ЖЭУ-7 2020 год'!$M$96</f>
        <v>688475.28</v>
      </c>
      <c r="N74" s="70">
        <v>0</v>
      </c>
      <c r="O74" s="86">
        <f t="shared" si="12"/>
        <v>79465.609999999986</v>
      </c>
      <c r="P74" s="86"/>
      <c r="Q74" s="16">
        <v>1646.0099999999984</v>
      </c>
      <c r="R74" s="16">
        <v>27982.17</v>
      </c>
      <c r="S74" s="16">
        <v>28036.04</v>
      </c>
      <c r="T74" s="16">
        <f t="shared" ref="T74:T84" si="16">Q74+R74-S74</f>
        <v>1592.1399999999958</v>
      </c>
      <c r="U74" s="15">
        <f>'[3]тариф начисл. 2019 с янв'!$P$81</f>
        <v>2238.6</v>
      </c>
      <c r="V74" s="15">
        <f>'[3]тариф начисл. 2019 с янв'!$O$81+[3]авг!$F$81</f>
        <v>48045.4</v>
      </c>
      <c r="W74" s="15">
        <f>'[3]тариф начисл. 2019 с янв'!$N$81</f>
        <v>195397.8</v>
      </c>
      <c r="X74" s="15"/>
      <c r="Y74" s="15"/>
      <c r="Z74" s="15">
        <f>'[3]тариф начисл. 2019 с янв'!$AC$81</f>
        <v>319.8</v>
      </c>
      <c r="AA74" s="15">
        <f>'[3]тариф начисл. 2019 с янв'!$AD$81+'[3]тариф начисл. 2019 с янв'!$AE$81</f>
        <v>30061.200000000001</v>
      </c>
      <c r="AB74" s="15">
        <f>'[3]тариф начисл. 2019 с янв'!$AA$81</f>
        <v>1279.2</v>
      </c>
      <c r="AC74" s="15">
        <f>'[3]тариф начисл. 2019 с янв'!$AB$81+[6]год!$F$81</f>
        <v>2302.98</v>
      </c>
      <c r="AD74" s="15">
        <f>'[3]тариф начисл. 2019 с янв'!$Z$81</f>
        <v>28142.400000000001</v>
      </c>
      <c r="AE74" s="15">
        <f>'[3]тариф начисл. 2019 с янв'!$V$81</f>
        <v>103615.2</v>
      </c>
      <c r="AF74" s="15"/>
      <c r="AG74" s="15">
        <f>'[3]тариф начисл. 2019 с янв'!$BA$81</f>
        <v>46051.199999999997</v>
      </c>
      <c r="AH74" s="16">
        <f t="shared" si="11"/>
        <v>457453.78</v>
      </c>
      <c r="AI74" s="17">
        <f>'[3]тариф начисл. 2019 с янв'!$AJ$81</f>
        <v>99457.8</v>
      </c>
      <c r="AJ74" s="17">
        <f>'[3]тариф начисл. 2019 с янв'!$AO$81</f>
        <v>52127.4</v>
      </c>
      <c r="AK74" s="17">
        <f>'[3]тариф начисл. 2019 с янв'!$AS$81</f>
        <v>57244.2</v>
      </c>
      <c r="AL74" s="17">
        <f>'[3]тариф начисл. 2019 с янв'!$AW$81</f>
        <v>27183</v>
      </c>
      <c r="AM74" s="17">
        <f>'[3]тариф начисл. 2019 с янв'!$AZ$81</f>
        <v>46690.8</v>
      </c>
      <c r="AN74" s="16">
        <f t="shared" si="13"/>
        <v>282703.2</v>
      </c>
      <c r="AO74" s="16">
        <f t="shared" si="9"/>
        <v>740156.98</v>
      </c>
      <c r="AP74" s="247">
        <f t="shared" si="14"/>
        <v>23645.659999999953</v>
      </c>
      <c r="AQ74" s="22">
        <f t="shared" si="15"/>
        <v>716511.32000000007</v>
      </c>
    </row>
    <row r="75" spans="1:43">
      <c r="A75" s="4"/>
      <c r="B75" s="25"/>
      <c r="C75" s="144">
        <v>71</v>
      </c>
      <c r="D75" s="84" t="s">
        <v>111</v>
      </c>
      <c r="E75" s="110" t="s">
        <v>108</v>
      </c>
      <c r="F75" s="110" t="s">
        <v>106</v>
      </c>
      <c r="G75" s="74">
        <v>2011</v>
      </c>
      <c r="H75" s="68">
        <f>'[2]тариф начисл. 2018 с янв'!$I$81</f>
        <v>3482.6</v>
      </c>
      <c r="I75" s="75" t="s">
        <v>40</v>
      </c>
      <c r="J75" s="75">
        <v>25.92</v>
      </c>
      <c r="K75" s="142">
        <v>196206.84999999998</v>
      </c>
      <c r="L75" s="70">
        <f>'[5]УК ЖЭУ-7 2020 год'!$L$98</f>
        <v>830383.2</v>
      </c>
      <c r="M75" s="70">
        <f>'[5]УК ЖЭУ-7 2020 год'!$M$98</f>
        <v>805811.57</v>
      </c>
      <c r="N75" s="70">
        <v>0</v>
      </c>
      <c r="O75" s="86">
        <f t="shared" si="12"/>
        <v>220778.47999999998</v>
      </c>
      <c r="P75" s="86"/>
      <c r="Q75" s="16">
        <v>50979.78</v>
      </c>
      <c r="R75" s="16">
        <f>175244.49+31032.2</f>
        <v>206276.69</v>
      </c>
      <c r="S75" s="16">
        <f>154092.94+24825.76</f>
        <v>178918.7</v>
      </c>
      <c r="T75" s="16">
        <f t="shared" si="16"/>
        <v>78337.76999999999</v>
      </c>
      <c r="U75" s="15">
        <f>'[3]тариф начисл. 2019 с янв'!$P$82</f>
        <v>2925.38</v>
      </c>
      <c r="V75" s="15">
        <f>'[3]тариф начисл. 2019 с янв'!$O$82+[3]авг!$F$82</f>
        <v>15268.27</v>
      </c>
      <c r="W75" s="15">
        <f>'[3]тариф начисл. 2019 с янв'!$N$82</f>
        <v>174269.3</v>
      </c>
      <c r="X75" s="15"/>
      <c r="Y75" s="15">
        <f>'[3]тариф начисл. 2019 с янв'!$BE$82</f>
        <v>297971.26</v>
      </c>
      <c r="Z75" s="15">
        <f>'[3]тариф начисл. 2019 с янв'!$AC$82</f>
        <v>417.91</v>
      </c>
      <c r="AA75" s="15">
        <f>'[3]тариф начисл. 2019 с янв'!$AD$82+'[3]тариф начисл. 2019 с янв'!$AE$82</f>
        <v>39283.72</v>
      </c>
      <c r="AB75" s="15">
        <f>'[3]тариф начисл. 2019 с янв'!$AA$82</f>
        <v>1671.65</v>
      </c>
      <c r="AC75" s="15">
        <f>'[3]тариф начисл. 2019 с янв'!$AB$82</f>
        <v>1253.74</v>
      </c>
      <c r="AD75" s="15">
        <f>'[3]тариф начисл. 2019 с янв'!$Z$82</f>
        <v>36776.26</v>
      </c>
      <c r="AE75" s="15">
        <f>'[3]тариф начисл. 2019 с янв'!$V$82</f>
        <v>135403.49</v>
      </c>
      <c r="AF75" s="15"/>
      <c r="AG75" s="15">
        <f>'[3]тариф начисл. 2019 с янв'!$BA$82</f>
        <v>60179.33</v>
      </c>
      <c r="AH75" s="16">
        <f t="shared" si="11"/>
        <v>765420.30999999994</v>
      </c>
      <c r="AI75" s="17">
        <f>'[3]тариф начисл. 2019 с янв'!$AJ$82+[6]год!$R$82</f>
        <v>92579.43</v>
      </c>
      <c r="AJ75" s="17">
        <f>'[3]тариф начисл. 2019 с янв'!$AO$82</f>
        <v>68119.66</v>
      </c>
      <c r="AK75" s="17">
        <f>'[3]тариф начисл. 2019 с янв'!$AS$82</f>
        <v>74806.25</v>
      </c>
      <c r="AL75" s="17">
        <f>'[3]тариф начисл. 2019 с янв'!$AW$82</f>
        <v>35522.519999999997</v>
      </c>
      <c r="AM75" s="17">
        <f>'[3]тариф начисл. 2019 с янв'!$AZ$82</f>
        <v>61015.15</v>
      </c>
      <c r="AN75" s="16">
        <f t="shared" si="13"/>
        <v>332043.01</v>
      </c>
      <c r="AO75" s="16">
        <f t="shared" si="9"/>
        <v>1097463.3199999998</v>
      </c>
      <c r="AP75" s="247">
        <f t="shared" si="14"/>
        <v>112733.04999999987</v>
      </c>
      <c r="AQ75" s="22">
        <f t="shared" si="15"/>
        <v>984730.27</v>
      </c>
    </row>
    <row r="76" spans="1:43">
      <c r="A76" s="4"/>
      <c r="B76" s="25"/>
      <c r="C76" s="144">
        <v>72</v>
      </c>
      <c r="D76" s="199" t="s">
        <v>196</v>
      </c>
      <c r="E76" s="110">
        <v>43</v>
      </c>
      <c r="F76" s="110" t="s">
        <v>107</v>
      </c>
      <c r="G76" s="74">
        <v>1993</v>
      </c>
      <c r="H76" s="68">
        <f>'[3]тариф начисл. 2019 с янв'!$I$83</f>
        <v>6349</v>
      </c>
      <c r="I76" s="75" t="s">
        <v>40</v>
      </c>
      <c r="J76" s="75">
        <v>35.76</v>
      </c>
      <c r="K76" s="142">
        <v>1763003.21</v>
      </c>
      <c r="L76" s="70">
        <f>'[5]УК ЖЭУ-7 2020 год'!$L$27</f>
        <v>2684360.88</v>
      </c>
      <c r="M76" s="70">
        <f>'[5]УК ЖЭУ-7 2020 год'!$M$27</f>
        <v>1568468.91</v>
      </c>
      <c r="N76" s="70">
        <v>0</v>
      </c>
      <c r="O76" s="86">
        <f t="shared" si="12"/>
        <v>2878895.1799999997</v>
      </c>
      <c r="P76" s="86"/>
      <c r="Q76" s="16">
        <v>-3648.3699999999953</v>
      </c>
      <c r="R76" s="16">
        <v>62357.98</v>
      </c>
      <c r="S76" s="16">
        <v>62281.36</v>
      </c>
      <c r="T76" s="16">
        <f t="shared" si="16"/>
        <v>-3571.7499999999927</v>
      </c>
      <c r="U76" s="15">
        <f>'[3]тариф начисл. 2019 с янв'!$P$83</f>
        <v>5333.16</v>
      </c>
      <c r="V76" s="15">
        <f>'[3]тариф начисл. 2019 с янв'!$O$83+[3]авг!$F$83</f>
        <v>47761.11</v>
      </c>
      <c r="W76" s="15">
        <f>'[3]тариф начисл. 2019 с янв'!$N$83</f>
        <v>465508.68</v>
      </c>
      <c r="X76" s="15">
        <f>'[3]тариф начисл. 2019 с янв'!$BC$83</f>
        <v>184374.96</v>
      </c>
      <c r="Y76" s="15">
        <f>'[3]тариф начисл. 2019 с янв'!$BE$83</f>
        <v>951588.12</v>
      </c>
      <c r="Z76" s="15">
        <f>'[3]тариф начисл. 2019 с янв'!$AC$83</f>
        <v>761.88</v>
      </c>
      <c r="AA76" s="15">
        <f>'[3]тариф начисл. 2019 с янв'!$AD$83+'[3]тариф начисл. 2019 с янв'!$AE$83</f>
        <v>71616.72</v>
      </c>
      <c r="AB76" s="15">
        <f>'[3]тариф начисл. 2019 с янв'!$AA$83</f>
        <v>3047.52</v>
      </c>
      <c r="AC76" s="15">
        <f>'[3]тариф начисл. 2019 с янв'!$AB$83+[6]год!$F$83</f>
        <v>2285.64</v>
      </c>
      <c r="AD76" s="15">
        <f>'[3]тариф начисл. 2019 с янв'!$Z$83</f>
        <v>0</v>
      </c>
      <c r="AE76" s="15">
        <f>'[3]тариф начисл. 2019 с янв'!$V$83</f>
        <v>246849.12</v>
      </c>
      <c r="AF76" s="15"/>
      <c r="AG76" s="15">
        <f>'[3]тариф начисл. 2019 с янв'!$BA$83</f>
        <v>109710.72</v>
      </c>
      <c r="AH76" s="16">
        <f t="shared" si="11"/>
        <v>2088837.6299999997</v>
      </c>
      <c r="AI76" s="17">
        <f>'[3]тариф начисл. 2019 с янв'!$AJ$83</f>
        <v>236944.68</v>
      </c>
      <c r="AJ76" s="17">
        <f>'[3]тариф начисл. 2019 с янв'!$AO$83</f>
        <v>124186.44</v>
      </c>
      <c r="AK76" s="17">
        <f>'[3]тариф начисл. 2019 с янв'!$AS$83</f>
        <v>136376.51999999999</v>
      </c>
      <c r="AL76" s="17">
        <f>'[3]тариф начисл. 2019 с янв'!$AW$83</f>
        <v>64759.8</v>
      </c>
      <c r="AM76" s="17">
        <f>'[3]тариф начисл. 2019 с янв'!$AZ$83</f>
        <v>111234.48</v>
      </c>
      <c r="AN76" s="16">
        <f t="shared" si="13"/>
        <v>673501.92</v>
      </c>
      <c r="AO76" s="16">
        <f t="shared" si="9"/>
        <v>2762339.55</v>
      </c>
      <c r="AP76" s="247">
        <f t="shared" si="14"/>
        <v>1131589.2799999998</v>
      </c>
      <c r="AQ76" s="22">
        <f t="shared" si="15"/>
        <v>1630750.27</v>
      </c>
    </row>
    <row r="77" spans="1:43">
      <c r="A77" s="4">
        <v>93</v>
      </c>
      <c r="B77" s="21">
        <v>90</v>
      </c>
      <c r="C77" s="144">
        <v>73</v>
      </c>
      <c r="D77" s="84" t="s">
        <v>14</v>
      </c>
      <c r="E77" s="73">
        <v>120</v>
      </c>
      <c r="F77" s="74" t="s">
        <v>32</v>
      </c>
      <c r="G77" s="73">
        <v>1959</v>
      </c>
      <c r="H77" s="68">
        <f>'[3]тариф начисл. 2019 с янв'!$I$84</f>
        <v>1260</v>
      </c>
      <c r="I77" s="75" t="s">
        <v>40</v>
      </c>
      <c r="J77" s="75">
        <v>20.88</v>
      </c>
      <c r="K77" s="142">
        <v>109612.09000000008</v>
      </c>
      <c r="L77" s="70">
        <f>'[5]УК ЖЭУ-7 2020 год'!$L$99</f>
        <v>315705.71999999997</v>
      </c>
      <c r="M77" s="70">
        <f>'[5]УК ЖЭУ-7 2020 год'!$M$99</f>
        <v>299747.71000000002</v>
      </c>
      <c r="N77" s="70">
        <v>0</v>
      </c>
      <c r="O77" s="86">
        <f t="shared" si="12"/>
        <v>125570.10000000003</v>
      </c>
      <c r="P77" s="86"/>
      <c r="Q77" s="16">
        <v>1750</v>
      </c>
      <c r="R77" s="16">
        <v>8400</v>
      </c>
      <c r="S77" s="16">
        <v>8050</v>
      </c>
      <c r="T77" s="16">
        <f t="shared" si="16"/>
        <v>2100</v>
      </c>
      <c r="U77" s="15">
        <f>'[3]тариф начисл. 2019 с янв'!$P$84</f>
        <v>1058.4000000000001</v>
      </c>
      <c r="V77" s="15">
        <f>'[3]тариф начисл. 2019 с янв'!$O$84+[3]авг!$F$84</f>
        <v>5602.74</v>
      </c>
      <c r="W77" s="15">
        <f>'[3]тариф начисл. 2019 с янв'!$N$84</f>
        <v>92383.2</v>
      </c>
      <c r="X77" s="15"/>
      <c r="Y77" s="15"/>
      <c r="Z77" s="15">
        <f>'[3]тариф начисл. 2019 с янв'!$AC$84</f>
        <v>151.19999999999999</v>
      </c>
      <c r="AA77" s="15">
        <f>'[3]тариф начисл. 2019 с янв'!$AD$84+'[3]тариф начисл. 2019 с янв'!$AE$84</f>
        <v>14212.8</v>
      </c>
      <c r="AB77" s="15">
        <f>'[3]тариф начисл. 2019 с янв'!$AA$84</f>
        <v>604.79999999999995</v>
      </c>
      <c r="AC77" s="15">
        <f>'[3]тариф начисл. 2019 с янв'!$AB$84+[6]год!$F$84</f>
        <v>1775.42</v>
      </c>
      <c r="AD77" s="15">
        <f>'[3]тариф начисл. 2019 с янв'!$Z$84</f>
        <v>13305.6</v>
      </c>
      <c r="AE77" s="15">
        <f>'[3]тариф начисл. 2019 с янв'!$V$84</f>
        <v>48988.800000000003</v>
      </c>
      <c r="AF77" s="15"/>
      <c r="AG77" s="15">
        <f>'[3]тариф начисл. 2019 с янв'!$BA$84</f>
        <v>21772.799999999999</v>
      </c>
      <c r="AH77" s="16">
        <f t="shared" ref="AH77:AH84" si="17">SUM(U77:AG77)</f>
        <v>199855.76</v>
      </c>
      <c r="AI77" s="17">
        <f>'[6]тариф начисл. 2020 с янв'!$AJ$84+[6]год!$R$84+[6]год!$R$84</f>
        <v>59323.199999999997</v>
      </c>
      <c r="AJ77" s="17">
        <f>'[3]тариф начисл. 2019 с янв'!$AO$84</f>
        <v>24645.599999999999</v>
      </c>
      <c r="AK77" s="17">
        <f>'[3]тариф начисл. 2019 с янв'!$AS$84</f>
        <v>14364</v>
      </c>
      <c r="AL77" s="17">
        <f>'[3]тариф начисл. 2019 с янв'!$AW$84</f>
        <v>12700.8</v>
      </c>
      <c r="AM77" s="17">
        <f>'[3]тариф начисл. 2019 с янв'!$AZ$84</f>
        <v>22075.200000000001</v>
      </c>
      <c r="AN77" s="16">
        <f t="shared" si="13"/>
        <v>133108.79999999999</v>
      </c>
      <c r="AO77" s="16">
        <f t="shared" si="9"/>
        <v>332964.56</v>
      </c>
      <c r="AP77" s="248">
        <f t="shared" si="14"/>
        <v>25166.849999999977</v>
      </c>
      <c r="AQ77" s="22">
        <f t="shared" si="15"/>
        <v>307797.71000000002</v>
      </c>
    </row>
    <row r="78" spans="1:43">
      <c r="A78" s="4">
        <v>94</v>
      </c>
      <c r="B78" s="26">
        <v>91</v>
      </c>
      <c r="C78" s="144">
        <v>74</v>
      </c>
      <c r="D78" s="84" t="s">
        <v>14</v>
      </c>
      <c r="E78" s="73">
        <v>122</v>
      </c>
      <c r="F78" s="74" t="s">
        <v>32</v>
      </c>
      <c r="G78" s="73">
        <v>1958</v>
      </c>
      <c r="H78" s="68">
        <f>'[3]тариф начисл. 2019 с янв'!$I$85</f>
        <v>1752.7</v>
      </c>
      <c r="I78" s="75" t="s">
        <v>40</v>
      </c>
      <c r="J78" s="75">
        <v>20.88</v>
      </c>
      <c r="K78" s="142">
        <v>220187.83000000002</v>
      </c>
      <c r="L78" s="70">
        <f>'[5]УК ЖЭУ-7 2020 год'!$L$100</f>
        <v>439156.32</v>
      </c>
      <c r="M78" s="70">
        <f>'[5]УК ЖЭУ-7 2020 год'!$M$100</f>
        <v>441203.51</v>
      </c>
      <c r="N78" s="70">
        <v>0</v>
      </c>
      <c r="O78" s="86">
        <f t="shared" si="12"/>
        <v>218140.64</v>
      </c>
      <c r="P78" s="86"/>
      <c r="Q78" s="16">
        <v>1750</v>
      </c>
      <c r="R78" s="16">
        <v>8400</v>
      </c>
      <c r="S78" s="16">
        <v>8050</v>
      </c>
      <c r="T78" s="16">
        <f t="shared" si="16"/>
        <v>2100</v>
      </c>
      <c r="U78" s="15">
        <f>'[3]тариф начисл. 2019 с янв'!$P$85</f>
        <v>1472.27</v>
      </c>
      <c r="V78" s="15">
        <f>'[3]тариф начисл. 2019 с янв'!$O$85+[3]авг!$F$85</f>
        <v>10401.369999999999</v>
      </c>
      <c r="W78" s="15">
        <f>'[3]тариф начисл. 2019 с янв'!$N$85</f>
        <v>128507.96</v>
      </c>
      <c r="X78" s="15"/>
      <c r="Y78" s="15"/>
      <c r="Z78" s="15">
        <f>'[3]тариф начисл. 2019 с янв'!$AC$85</f>
        <v>210.32</v>
      </c>
      <c r="AA78" s="15">
        <f>'[3]тариф начисл. 2019 с янв'!$AD$85+'[3]тариф начисл. 2019 с янв'!$AE$85</f>
        <v>19770.46</v>
      </c>
      <c r="AB78" s="15">
        <f>'[3]тариф начисл. 2019 с янв'!$AA$85</f>
        <v>841.3</v>
      </c>
      <c r="AC78" s="15">
        <f>'[3]тариф начисл. 2019 с янв'!$AB$85+[6]год!$F$85</f>
        <v>2469.9499999999998</v>
      </c>
      <c r="AD78" s="15">
        <f>'[3]тариф начисл. 2019 с янв'!$Z$85</f>
        <v>18508.509999999998</v>
      </c>
      <c r="AE78" s="15">
        <f>'[3]тариф начисл. 2019 с янв'!$V$85</f>
        <v>68144.98</v>
      </c>
      <c r="AF78" s="15"/>
      <c r="AG78" s="15">
        <f>'[3]тариф начисл. 2019 с янв'!$BA$85</f>
        <v>30286.66</v>
      </c>
      <c r="AH78" s="16">
        <f t="shared" si="17"/>
        <v>280613.77999999997</v>
      </c>
      <c r="AI78" s="17">
        <f>'[6]тариф начисл. 2020 с янв'!$AJ$85+[6]год!$R$85</f>
        <v>113361.36</v>
      </c>
      <c r="AJ78" s="17">
        <f>'[3]тариф начисл. 2019 с янв'!$AO$85</f>
        <v>34282.81</v>
      </c>
      <c r="AK78" s="17">
        <f>'[3]тариф начисл. 2019 с янв'!$AS$85</f>
        <v>19980.78</v>
      </c>
      <c r="AL78" s="17">
        <f>'[3]тариф начисл. 2019 с янв'!$AW$85</f>
        <v>17667.22</v>
      </c>
      <c r="AM78" s="17">
        <f>'[3]тариф начисл. 2019 с янв'!$AZ$85</f>
        <v>30707.3</v>
      </c>
      <c r="AN78" s="16">
        <f t="shared" si="13"/>
        <v>215999.46999999997</v>
      </c>
      <c r="AO78" s="16">
        <f t="shared" si="9"/>
        <v>496613.24999999994</v>
      </c>
      <c r="AP78" s="255">
        <f t="shared" si="14"/>
        <v>47359.739999999932</v>
      </c>
      <c r="AQ78" s="22">
        <f t="shared" si="15"/>
        <v>449253.51</v>
      </c>
    </row>
    <row r="79" spans="1:43">
      <c r="A79" s="4">
        <v>95</v>
      </c>
      <c r="B79" s="21">
        <v>92</v>
      </c>
      <c r="C79" s="144">
        <v>75</v>
      </c>
      <c r="D79" s="84" t="s">
        <v>14</v>
      </c>
      <c r="E79" s="73">
        <v>124</v>
      </c>
      <c r="F79" s="74" t="s">
        <v>32</v>
      </c>
      <c r="G79" s="73">
        <v>1958</v>
      </c>
      <c r="H79" s="68">
        <f>'[2]тариф начисл. 2018 с янв'!$I$84</f>
        <v>1722.5</v>
      </c>
      <c r="I79" s="75" t="s">
        <v>40</v>
      </c>
      <c r="J79" s="75">
        <v>20.88</v>
      </c>
      <c r="K79" s="142">
        <v>100956.57999999996</v>
      </c>
      <c r="L79" s="70">
        <f>'[5]УК ЖЭУ-7 2020 год'!$L$101</f>
        <v>431589.24</v>
      </c>
      <c r="M79" s="70">
        <f>'[5]УК ЖЭУ-7 2020 год'!$M$101</f>
        <v>413662.93</v>
      </c>
      <c r="N79" s="70">
        <v>0</v>
      </c>
      <c r="O79" s="86">
        <f t="shared" si="12"/>
        <v>118882.88999999996</v>
      </c>
      <c r="P79" s="86"/>
      <c r="Q79" s="16">
        <v>2821.1399999999994</v>
      </c>
      <c r="R79" s="16">
        <f>8400+6426.82</f>
        <v>14826.82</v>
      </c>
      <c r="S79" s="16">
        <f>8050+6222.11</f>
        <v>14272.11</v>
      </c>
      <c r="T79" s="16">
        <f t="shared" si="16"/>
        <v>3375.8499999999985</v>
      </c>
      <c r="U79" s="15">
        <f>'[3]тариф начисл. 2019 с янв'!$P$86</f>
        <v>1446.9</v>
      </c>
      <c r="V79" s="15">
        <f>'[3]тариф начисл. 2019 с янв'!$O$86+[3]авг!$F$86</f>
        <v>12529.470000000001</v>
      </c>
      <c r="W79" s="15">
        <f>'[3]тариф начисл. 2019 с янв'!$N$86</f>
        <v>126293.7</v>
      </c>
      <c r="X79" s="15"/>
      <c r="Y79" s="15"/>
      <c r="Z79" s="15">
        <f>'[3]тариф начисл. 2019 с янв'!$AC$86</f>
        <v>206.7</v>
      </c>
      <c r="AA79" s="15">
        <f>'[3]тариф начисл. 2019 с янв'!$AD$86+'[3]тариф начисл. 2019 с янв'!$AE$86</f>
        <v>19429.8</v>
      </c>
      <c r="AB79" s="15">
        <f>'[3]тариф начисл. 2019 с янв'!$AA$86</f>
        <v>826.8</v>
      </c>
      <c r="AC79" s="15">
        <f>'[3]тариф начисл. 2019 с янв'!$AB$86+[6]год!$F$86</f>
        <v>2260.92</v>
      </c>
      <c r="AD79" s="15">
        <f>'[3]тариф начисл. 2019 с янв'!$Z$86</f>
        <v>18189.599999999999</v>
      </c>
      <c r="AE79" s="15">
        <f>'[3]тариф начисл. 2019 с янв'!$V$86</f>
        <v>66970.8</v>
      </c>
      <c r="AF79" s="15"/>
      <c r="AG79" s="15">
        <f>'[3]тариф начисл. 2019 с янв'!$BA$86</f>
        <v>29764.799999999999</v>
      </c>
      <c r="AH79" s="16">
        <f t="shared" si="17"/>
        <v>277919.49</v>
      </c>
      <c r="AI79" s="17">
        <f>'[6]тариф начисл. 2020 с янв'!$AJ$86+[6]год!$R$86</f>
        <v>191483.7</v>
      </c>
      <c r="AJ79" s="17">
        <f>'[3]тариф начисл. 2019 с янв'!$AO$86</f>
        <v>33692.1</v>
      </c>
      <c r="AK79" s="17">
        <f>'[3]тариф начисл. 2019 с янв'!$AS$86</f>
        <v>19636.5</v>
      </c>
      <c r="AL79" s="17">
        <f>'[3]тариф начисл. 2019 с янв'!$AW$86</f>
        <v>17362.8</v>
      </c>
      <c r="AM79" s="17">
        <f>'[3]тариф начисл. 2019 с янв'!$AZ$86</f>
        <v>30178.2</v>
      </c>
      <c r="AN79" s="16">
        <f t="shared" si="13"/>
        <v>292353.30000000005</v>
      </c>
      <c r="AO79" s="16">
        <f t="shared" si="9"/>
        <v>570272.79</v>
      </c>
      <c r="AP79" s="247">
        <f t="shared" si="14"/>
        <v>142337.75000000006</v>
      </c>
      <c r="AQ79" s="22">
        <f t="shared" si="15"/>
        <v>427935.04</v>
      </c>
    </row>
    <row r="80" spans="1:43">
      <c r="A80" s="4">
        <v>96</v>
      </c>
      <c r="B80" s="25">
        <v>93</v>
      </c>
      <c r="C80" s="144">
        <v>76</v>
      </c>
      <c r="D80" s="84" t="s">
        <v>14</v>
      </c>
      <c r="E80" s="73">
        <v>126</v>
      </c>
      <c r="F80" s="74" t="s">
        <v>32</v>
      </c>
      <c r="G80" s="73">
        <v>1957</v>
      </c>
      <c r="H80" s="68">
        <f>'[2]тариф начисл. 2018 с янв'!$I$85</f>
        <v>1309.9000000000001</v>
      </c>
      <c r="I80" s="75" t="s">
        <v>40</v>
      </c>
      <c r="J80" s="75">
        <v>20.88</v>
      </c>
      <c r="K80" s="142">
        <v>166337.95000000001</v>
      </c>
      <c r="L80" s="70">
        <f>'[5]УК ЖЭУ-7 2020 год'!$L$104</f>
        <v>311596.44</v>
      </c>
      <c r="M80" s="70">
        <f>'[5]УК ЖЭУ-7 2020 год'!$M$104</f>
        <v>283935.52</v>
      </c>
      <c r="N80" s="70">
        <v>0</v>
      </c>
      <c r="O80" s="86">
        <f t="shared" si="12"/>
        <v>193998.87</v>
      </c>
      <c r="P80" s="86"/>
      <c r="Q80" s="16">
        <v>8426.1200000000026</v>
      </c>
      <c r="R80" s="16">
        <f>4638.88+8400+17240.64</f>
        <v>30279.52</v>
      </c>
      <c r="S80" s="16">
        <f>4491.12+8050+11493.75</f>
        <v>24034.87</v>
      </c>
      <c r="T80" s="16">
        <f t="shared" si="16"/>
        <v>14670.77</v>
      </c>
      <c r="U80" s="15">
        <f>'[3]тариф начисл. 2019 с янв'!$P$87</f>
        <v>1100.32</v>
      </c>
      <c r="V80" s="15">
        <f>'[3]тариф начисл. 2019 с янв'!$O$87+[3]авг!$F$87</f>
        <v>11085.68</v>
      </c>
      <c r="W80" s="15">
        <f>'[3]тариф начисл. 2019 с янв'!$N$87</f>
        <v>96041.87</v>
      </c>
      <c r="X80" s="15"/>
      <c r="Y80" s="15"/>
      <c r="Z80" s="15">
        <f>'[3]тариф начисл. 2019 с янв'!$AC$87</f>
        <v>157.19</v>
      </c>
      <c r="AA80" s="15">
        <f>'[3]тариф начисл. 2019 с янв'!$AD$87+'[3]тариф начисл. 2019 с янв'!$AE$87</f>
        <v>14775.68</v>
      </c>
      <c r="AB80" s="15">
        <f>'[3]тариф начисл. 2019 с янв'!$AA$87</f>
        <v>628.75</v>
      </c>
      <c r="AC80" s="15">
        <f>'[6]тариф начисл. 2020 с янв'!$AB$87+[6]год!$F$87</f>
        <v>1804.56</v>
      </c>
      <c r="AD80" s="15">
        <f>'[3]тариф начисл. 2019 с янв'!$Z$87</f>
        <v>13832.54</v>
      </c>
      <c r="AE80" s="15">
        <f>'[3]тариф начисл. 2019 с янв'!$V$87</f>
        <v>50928.91</v>
      </c>
      <c r="AF80" s="15"/>
      <c r="AG80" s="15">
        <f>'[3]тариф начисл. 2019 с янв'!$BA$87</f>
        <v>22635.07</v>
      </c>
      <c r="AH80" s="16">
        <f t="shared" si="17"/>
        <v>212990.57</v>
      </c>
      <c r="AI80" s="17">
        <f>'[6]тариф начисл. 2020 с янв'!$AJ$87+[6]год!$R$87</f>
        <v>200325.47</v>
      </c>
      <c r="AJ80" s="17">
        <f>'[3]тариф начисл. 2019 с янв'!$AO$87</f>
        <v>25621.64</v>
      </c>
      <c r="AK80" s="17">
        <f>'[3]тариф начисл. 2019 с янв'!$AS$87</f>
        <v>14932.86</v>
      </c>
      <c r="AL80" s="17">
        <f>'[3]тариф начисл. 2019 с янв'!$AW$87</f>
        <v>13203.79</v>
      </c>
      <c r="AM80" s="17">
        <f>'[3]тариф начисл. 2019 с янв'!$AZ$87</f>
        <v>22949.45</v>
      </c>
      <c r="AN80" s="16">
        <f t="shared" si="13"/>
        <v>277033.20999999996</v>
      </c>
      <c r="AO80" s="16">
        <f t="shared" si="9"/>
        <v>490023.77999999997</v>
      </c>
      <c r="AP80" s="247">
        <f t="shared" si="14"/>
        <v>182053.38999999996</v>
      </c>
      <c r="AQ80" s="22">
        <f t="shared" si="15"/>
        <v>307970.39</v>
      </c>
    </row>
    <row r="81" spans="1:43">
      <c r="A81" s="4">
        <v>97</v>
      </c>
      <c r="B81" s="26">
        <v>94</v>
      </c>
      <c r="C81" s="144">
        <v>77</v>
      </c>
      <c r="D81" s="84" t="s">
        <v>14</v>
      </c>
      <c r="E81" s="73">
        <v>128</v>
      </c>
      <c r="F81" s="74" t="s">
        <v>32</v>
      </c>
      <c r="G81" s="73">
        <v>1958</v>
      </c>
      <c r="H81" s="68">
        <f>'[2]тариф начисл. 2018 с янв'!$I$86</f>
        <v>1329.9</v>
      </c>
      <c r="I81" s="75" t="s">
        <v>40</v>
      </c>
      <c r="J81" s="75">
        <v>20.88</v>
      </c>
      <c r="K81" s="142">
        <v>86225</v>
      </c>
      <c r="L81" s="70">
        <f>'[5]УК ЖЭУ-7 2020 год'!$L$107</f>
        <v>333219.71999999997</v>
      </c>
      <c r="M81" s="70">
        <f>'[5]УК ЖЭУ-7 2020 год'!$M$107</f>
        <v>332995.56</v>
      </c>
      <c r="N81" s="70">
        <v>0</v>
      </c>
      <c r="O81" s="86">
        <f t="shared" si="12"/>
        <v>86449.159999999974</v>
      </c>
      <c r="P81" s="86"/>
      <c r="Q81" s="16">
        <v>1879.4499999999989</v>
      </c>
      <c r="R81" s="16">
        <f>2071.15+8400</f>
        <v>10471.15</v>
      </c>
      <c r="S81" s="16">
        <f>1941.7+8050</f>
        <v>9991.7000000000007</v>
      </c>
      <c r="T81" s="16">
        <f t="shared" si="16"/>
        <v>2358.8999999999978</v>
      </c>
      <c r="U81" s="15">
        <f>'[3]тариф начисл. 2019 с янв'!$P$88</f>
        <v>1117.1199999999999</v>
      </c>
      <c r="V81" s="15">
        <f>'[3]тариф начисл. 2019 с янв'!$O$88+[3]авг!$F$88</f>
        <v>25871.57</v>
      </c>
      <c r="W81" s="15">
        <f>'[3]тариф начисл. 2019 с янв'!$N$88</f>
        <v>97508.27</v>
      </c>
      <c r="X81" s="15"/>
      <c r="Y81" s="15"/>
      <c r="Z81" s="15">
        <f>'[3]тариф начисл. 2019 с янв'!$AC$88</f>
        <v>159.59</v>
      </c>
      <c r="AA81" s="15">
        <f>'[3]тариф начисл. 2019 с янв'!$AD$88+'[3]тариф начисл. 2019 с янв'!$AE$88</f>
        <v>15001.28</v>
      </c>
      <c r="AB81" s="15">
        <f>'[3]тариф начисл. 2019 с янв'!$AA$88</f>
        <v>638.35</v>
      </c>
      <c r="AC81" s="15">
        <f>'[3]тариф начисл. 2019 с янв'!$AB$88+[6]год!$F$88</f>
        <v>1172.5999999999999</v>
      </c>
      <c r="AD81" s="15">
        <f>'[3]тариф начисл. 2019 с янв'!$Z$88</f>
        <v>14043.74</v>
      </c>
      <c r="AE81" s="15">
        <f>'[3]тариф начисл. 2019 с янв'!$V$88</f>
        <v>51706.51</v>
      </c>
      <c r="AF81" s="15"/>
      <c r="AG81" s="15">
        <f>'[3]тариф начисл. 2019 с янв'!$BA$88</f>
        <v>22980.67</v>
      </c>
      <c r="AH81" s="16">
        <f t="shared" si="17"/>
        <v>230199.7</v>
      </c>
      <c r="AI81" s="17">
        <f>'[3]тариф начисл. 2019 с янв'!$AJ$88+[6]год!$R$88</f>
        <v>63853.87</v>
      </c>
      <c r="AJ81" s="17">
        <f>'[3]тариф начисл. 2019 с янв'!$AO$88</f>
        <v>26012.84</v>
      </c>
      <c r="AK81" s="17">
        <f>'[3]тариф начисл. 2019 с янв'!$AS$88</f>
        <v>15160.86</v>
      </c>
      <c r="AL81" s="17">
        <f>'[3]тариф начисл. 2019 с янв'!$AW$88</f>
        <v>13405.39</v>
      </c>
      <c r="AM81" s="17">
        <f>'[3]тариф начисл. 2019 с янв'!$AZ$88</f>
        <v>23299.85</v>
      </c>
      <c r="AN81" s="16">
        <f t="shared" si="13"/>
        <v>141732.81</v>
      </c>
      <c r="AO81" s="16">
        <f t="shared" si="9"/>
        <v>371932.51</v>
      </c>
      <c r="AP81" s="247">
        <f t="shared" si="14"/>
        <v>28945.250000000011</v>
      </c>
      <c r="AQ81" s="22">
        <f t="shared" si="15"/>
        <v>342987.26</v>
      </c>
    </row>
    <row r="82" spans="1:43">
      <c r="A82" s="4">
        <v>98</v>
      </c>
      <c r="B82" s="25">
        <v>95</v>
      </c>
      <c r="C82" s="144">
        <v>78</v>
      </c>
      <c r="D82" s="84" t="s">
        <v>14</v>
      </c>
      <c r="E82" s="73">
        <v>130</v>
      </c>
      <c r="F82" s="74" t="s">
        <v>32</v>
      </c>
      <c r="G82" s="73">
        <v>1958</v>
      </c>
      <c r="H82" s="68">
        <f>'[2]тариф начисл. 2018 с янв'!$I$87</f>
        <v>1334.6</v>
      </c>
      <c r="I82" s="75" t="s">
        <v>40</v>
      </c>
      <c r="J82" s="75">
        <v>20.88</v>
      </c>
      <c r="K82" s="142">
        <v>214627.24000000005</v>
      </c>
      <c r="L82" s="70">
        <f>'[5]УК ЖЭУ-7 2020 год'!$L$108</f>
        <v>334397.28000000003</v>
      </c>
      <c r="M82" s="70">
        <f>'[5]УК ЖЭУ-7 2020 год'!$M$108</f>
        <v>353007.48</v>
      </c>
      <c r="N82" s="70">
        <v>0</v>
      </c>
      <c r="O82" s="86">
        <f t="shared" si="12"/>
        <v>196017.04000000004</v>
      </c>
      <c r="P82" s="86"/>
      <c r="Q82" s="16">
        <v>1879.9099999999999</v>
      </c>
      <c r="R82" s="16">
        <f>2078.47+8400</f>
        <v>10478.469999999999</v>
      </c>
      <c r="S82" s="16">
        <f>1948.56+8050</f>
        <v>9998.56</v>
      </c>
      <c r="T82" s="16">
        <f t="shared" si="16"/>
        <v>2359.8199999999997</v>
      </c>
      <c r="U82" s="15">
        <f>'[3]тариф начисл. 2019 с янв'!$P$89</f>
        <v>1121.06</v>
      </c>
      <c r="V82" s="15">
        <f>'[3]тариф начисл. 2019 с янв'!$O$89+[3]авг!$F$89</f>
        <v>4203.7</v>
      </c>
      <c r="W82" s="15">
        <f>'[3]тариф начисл. 2019 с янв'!$N$89</f>
        <v>97852.87</v>
      </c>
      <c r="X82" s="15"/>
      <c r="Y82" s="15"/>
      <c r="Z82" s="15">
        <f>'[3]тариф начисл. 2019 с янв'!$AC$89</f>
        <v>160.15</v>
      </c>
      <c r="AA82" s="15">
        <f>'[3]тариф начисл. 2019 с янв'!$AD$89+'[3]тариф начисл. 2019 с янв'!$AE$89</f>
        <v>15054.28</v>
      </c>
      <c r="AB82" s="15">
        <f>'[3]тариф начисл. 2019 с янв'!$AA$89</f>
        <v>640.61</v>
      </c>
      <c r="AC82" s="15">
        <f>'[3]тариф начисл. 2019 с янв'!$AB$89+[6]год!$F$89</f>
        <v>1176.06</v>
      </c>
      <c r="AD82" s="15">
        <f>'[3]тариф начисл. 2019 с янв'!$Z$89</f>
        <v>14093.38</v>
      </c>
      <c r="AE82" s="15">
        <f>'[3]тариф начисл. 2019 с янв'!$V$89</f>
        <v>51889.25</v>
      </c>
      <c r="AF82" s="15"/>
      <c r="AG82" s="15">
        <f>'[3]тариф начисл. 2019 с янв'!$BA$89</f>
        <v>23061.89</v>
      </c>
      <c r="AH82" s="16">
        <f t="shared" si="17"/>
        <v>209253.25</v>
      </c>
      <c r="AI82" s="17">
        <f>'[3]тариф начисл. 2019 с янв'!$AJ$89</f>
        <v>49807.27</v>
      </c>
      <c r="AJ82" s="17">
        <f>'[3]тариф начисл. 2019 с янв'!$AO$89+[6]год!$X$89</f>
        <v>40118.78</v>
      </c>
      <c r="AK82" s="17">
        <f>'[3]тариф начисл. 2019 с янв'!$AS$89</f>
        <v>15214.44</v>
      </c>
      <c r="AL82" s="17">
        <f>'[3]тариф начисл. 2019 с янв'!$AW$89</f>
        <v>13452.77</v>
      </c>
      <c r="AM82" s="17">
        <f>'[3]тариф начисл. 2019 с янв'!$AZ$89+[6]дек!$AR$89</f>
        <v>41242.19</v>
      </c>
      <c r="AN82" s="16">
        <f t="shared" si="13"/>
        <v>159835.45000000001</v>
      </c>
      <c r="AO82" s="16">
        <f t="shared" si="9"/>
        <v>369088.7</v>
      </c>
      <c r="AP82" s="254">
        <f t="shared" si="14"/>
        <v>6082.6600000000308</v>
      </c>
      <c r="AQ82" s="22">
        <f t="shared" si="15"/>
        <v>363006.04</v>
      </c>
    </row>
    <row r="83" spans="1:43">
      <c r="A83" s="4">
        <v>99</v>
      </c>
      <c r="B83" s="25">
        <v>96</v>
      </c>
      <c r="C83" s="144">
        <v>79</v>
      </c>
      <c r="D83" s="84" t="s">
        <v>14</v>
      </c>
      <c r="E83" s="73" t="s">
        <v>30</v>
      </c>
      <c r="F83" s="74" t="s">
        <v>32</v>
      </c>
      <c r="G83" s="73">
        <v>1958</v>
      </c>
      <c r="H83" s="68">
        <f>'[2]тариф начисл. 2018 с янв'!$I$88</f>
        <v>891.2</v>
      </c>
      <c r="I83" s="75" t="s">
        <v>40</v>
      </c>
      <c r="J83" s="75">
        <v>20.88</v>
      </c>
      <c r="K83" s="142">
        <v>43557.850000000035</v>
      </c>
      <c r="L83" s="70">
        <f>'[5]УК ЖЭУ-7 2020 год'!$L$102</f>
        <v>223299</v>
      </c>
      <c r="M83" s="70">
        <f>'[5]УК ЖЭУ-7 2020 год'!$M$102</f>
        <v>210932.88</v>
      </c>
      <c r="N83" s="70">
        <v>0</v>
      </c>
      <c r="O83" s="86">
        <f t="shared" si="12"/>
        <v>55923.97000000003</v>
      </c>
      <c r="P83" s="86"/>
      <c r="Q83" s="16">
        <v>2304.2000000000007</v>
      </c>
      <c r="R83" s="16">
        <f>3325.16+8400</f>
        <v>11725.16</v>
      </c>
      <c r="S83" s="16">
        <f>3219.24+8050</f>
        <v>11269.24</v>
      </c>
      <c r="T83" s="16">
        <f t="shared" si="16"/>
        <v>2760.1200000000008</v>
      </c>
      <c r="U83" s="15">
        <f>'[3]тариф начисл. 2019 с янв'!$P$90</f>
        <v>748.61</v>
      </c>
      <c r="V83" s="15">
        <f>'[3]тариф начисл. 2019 с янв'!$O$90+[3]авг!$F$90</f>
        <v>10959.01</v>
      </c>
      <c r="W83" s="15">
        <f>'[3]тариф начисл. 2019 с янв'!$N$90</f>
        <v>65342.78</v>
      </c>
      <c r="X83" s="15"/>
      <c r="Y83" s="15"/>
      <c r="Z83" s="15">
        <f>'[3]тариф начисл. 2019 с янв'!$AC$90</f>
        <v>106.94</v>
      </c>
      <c r="AA83" s="15">
        <f>'[3]тариф начисл. 2019 с янв'!$AD$90+'[3]тариф начисл. 2019 с янв'!$AE$90</f>
        <v>10052.74</v>
      </c>
      <c r="AB83" s="15">
        <f>'[3]тариф начисл. 2019 с янв'!$AA$90</f>
        <v>427.78</v>
      </c>
      <c r="AC83" s="15">
        <f>'[3]тариф начисл. 2019 с янв'!$AB$90+[6]год!$F$90</f>
        <v>636.58999999999992</v>
      </c>
      <c r="AD83" s="15">
        <f>'[3]тариф начисл. 2019 с янв'!$Z$90</f>
        <v>9411.07</v>
      </c>
      <c r="AE83" s="15">
        <f>'[3]тариф начисл. 2019 с янв'!$V$90</f>
        <v>34649.86</v>
      </c>
      <c r="AF83" s="15"/>
      <c r="AG83" s="15">
        <f>'[3]тариф начисл. 2019 с янв'!$BA$90</f>
        <v>15399.94</v>
      </c>
      <c r="AH83" s="16">
        <f t="shared" si="17"/>
        <v>147735.32</v>
      </c>
      <c r="AI83" s="17">
        <f>'[6]тариф начисл. 2020 с янв'!$AJ$90+[6]год!$R$90</f>
        <v>48734.18</v>
      </c>
      <c r="AJ83" s="17">
        <f>'[3]тариф начисл. 2019 с янв'!$AO$90</f>
        <v>17431.87</v>
      </c>
      <c r="AK83" s="17">
        <f>'[3]тариф начисл. 2019 с янв'!$AS$90</f>
        <v>10159.68</v>
      </c>
      <c r="AL83" s="17">
        <f>'[3]тариф начисл. 2019 с янв'!$AW$90</f>
        <v>8983.2999999999993</v>
      </c>
      <c r="AM83" s="17">
        <f>'[3]тариф начисл. 2019 с янв'!$AZ$90</f>
        <v>15613.82</v>
      </c>
      <c r="AN83" s="16">
        <f t="shared" si="13"/>
        <v>100922.85</v>
      </c>
      <c r="AO83" s="16">
        <f t="shared" si="9"/>
        <v>248658.17</v>
      </c>
      <c r="AP83" s="249">
        <f t="shared" si="14"/>
        <v>26456.05000000001</v>
      </c>
      <c r="AQ83" s="22">
        <f t="shared" si="15"/>
        <v>222202.12</v>
      </c>
    </row>
    <row r="84" spans="1:43" ht="14.25" customHeight="1">
      <c r="A84" s="4">
        <v>104</v>
      </c>
      <c r="B84" s="21">
        <v>99</v>
      </c>
      <c r="C84" s="144">
        <v>80</v>
      </c>
      <c r="D84" s="84" t="s">
        <v>14</v>
      </c>
      <c r="E84" s="73" t="s">
        <v>31</v>
      </c>
      <c r="F84" s="74" t="s">
        <v>32</v>
      </c>
      <c r="G84" s="73">
        <v>1956</v>
      </c>
      <c r="H84" s="68">
        <f>'[2]тариф начисл. 2018 с янв'!$I$90</f>
        <v>614.29999999999995</v>
      </c>
      <c r="I84" s="75" t="s">
        <v>40</v>
      </c>
      <c r="J84" s="75">
        <v>17.64</v>
      </c>
      <c r="K84" s="142">
        <v>126577.33000000002</v>
      </c>
      <c r="L84" s="70">
        <f>'[5]УК ЖЭУ-7 2020 год'!$L$106</f>
        <v>130035.12</v>
      </c>
      <c r="M84" s="70">
        <f>'[5]УК ЖЭУ-7 2020 год'!$M$106</f>
        <v>113129.08</v>
      </c>
      <c r="N84" s="70">
        <v>0</v>
      </c>
      <c r="O84" s="86">
        <f t="shared" si="12"/>
        <v>143483.37</v>
      </c>
      <c r="P84" s="86"/>
      <c r="Q84" s="16">
        <v>1750</v>
      </c>
      <c r="R84" s="16">
        <v>8400</v>
      </c>
      <c r="S84" s="16">
        <v>8050</v>
      </c>
      <c r="T84" s="16">
        <f t="shared" si="16"/>
        <v>2100</v>
      </c>
      <c r="U84" s="15">
        <f>'[3]тариф начисл. 2019 с янв'!$P$92</f>
        <v>516.01</v>
      </c>
      <c r="V84" s="15">
        <f>'[3]тариф начисл. 2019 с янв'!$O$92+[3]авг!$F$92</f>
        <v>26415.29</v>
      </c>
      <c r="W84" s="15">
        <f>'[3]тариф начисл. 2019 с янв'!$N$92</f>
        <v>45040.480000000003</v>
      </c>
      <c r="X84" s="15"/>
      <c r="Y84" s="15"/>
      <c r="Z84" s="15">
        <f>'[3]тариф начисл. 2019 с янв'!$AC$92</f>
        <v>73.72</v>
      </c>
      <c r="AA84" s="15">
        <f>'[3]тариф начисл. 2019 с янв'!$AD$92+'[3]тариф начисл. 2019 с янв'!$AE$92</f>
        <v>6929.3</v>
      </c>
      <c r="AB84" s="15">
        <f>'[3]тариф начисл. 2019 с янв'!$AA$92</f>
        <v>294.86</v>
      </c>
      <c r="AC84" s="15">
        <f>'[6]тариф начисл. 2020 с янв'!$AB$92+[6]год!$F$92</f>
        <v>1663.25</v>
      </c>
      <c r="AD84" s="15">
        <f>'[3]тариф начисл. 2019 с янв'!$Z$92</f>
        <v>6487.01</v>
      </c>
      <c r="AE84" s="15">
        <f>'[3]тариф начисл. 2019 с янв'!$V$92</f>
        <v>0</v>
      </c>
      <c r="AF84" s="15"/>
      <c r="AG84" s="15">
        <f>'[3]тариф начисл. 2019 с янв'!$BA$92</f>
        <v>10615.1</v>
      </c>
      <c r="AH84" s="16">
        <f t="shared" si="17"/>
        <v>98035.02</v>
      </c>
      <c r="AI84" s="17">
        <f>'[3]тариф начисл. 2019 с янв'!$AJ$92</f>
        <v>22925.68</v>
      </c>
      <c r="AJ84" s="17">
        <f>'[3]тариф начисл. 2019 с янв'!$AO$92</f>
        <v>12015.71</v>
      </c>
      <c r="AK84" s="17">
        <f>'[3]тариф начисл. 2019 с янв'!$AS$92</f>
        <v>7003.02</v>
      </c>
      <c r="AL84" s="17">
        <f>'[3]тариф начисл. 2019 с янв'!$AW$92</f>
        <v>6192.14</v>
      </c>
      <c r="AM84" s="17">
        <f>'[3]тариф начисл. 2019 с янв'!$AZ$92</f>
        <v>10762.54</v>
      </c>
      <c r="AN84" s="16">
        <f t="shared" si="13"/>
        <v>58899.090000000004</v>
      </c>
      <c r="AO84" s="16">
        <f t="shared" si="9"/>
        <v>156934.11000000002</v>
      </c>
      <c r="AP84" s="247">
        <f t="shared" si="14"/>
        <v>35755.030000000013</v>
      </c>
      <c r="AQ84" s="22">
        <f t="shared" si="15"/>
        <v>121179.08</v>
      </c>
    </row>
    <row r="85" spans="1:43" ht="17.25" customHeight="1">
      <c r="A85" s="4">
        <v>106</v>
      </c>
      <c r="B85" s="20">
        <v>100</v>
      </c>
      <c r="C85" s="20"/>
      <c r="D85" s="76"/>
      <c r="E85" s="76"/>
      <c r="F85" s="76"/>
      <c r="G85" s="76"/>
      <c r="H85" s="76"/>
      <c r="I85" s="77"/>
      <c r="J85" s="77"/>
      <c r="K85" s="143"/>
      <c r="L85" s="70"/>
      <c r="M85" s="70"/>
      <c r="N85" s="70"/>
      <c r="O85" s="70"/>
      <c r="P85" s="70"/>
      <c r="Q85" s="24"/>
      <c r="R85" s="24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6"/>
      <c r="AI85" s="17"/>
      <c r="AJ85" s="17"/>
      <c r="AK85" s="17"/>
      <c r="AL85" s="17"/>
      <c r="AM85" s="17"/>
      <c r="AN85" s="16"/>
      <c r="AO85" s="16"/>
      <c r="AP85" s="4"/>
      <c r="AQ85" s="22"/>
    </row>
    <row r="86" spans="1:43">
      <c r="A86" s="4"/>
      <c r="B86" s="4"/>
      <c r="C86" s="4"/>
      <c r="D86" s="28" t="s">
        <v>41</v>
      </c>
      <c r="E86" s="76"/>
      <c r="F86" s="76"/>
      <c r="G86" s="76"/>
      <c r="H86" s="78">
        <f>SUM(H4:H85)</f>
        <v>244358.39999999999</v>
      </c>
      <c r="I86" s="78"/>
      <c r="J86" s="76"/>
      <c r="K86" s="137">
        <f>SUM(K4:K85)</f>
        <v>16925850.169999998</v>
      </c>
      <c r="L86" s="33">
        <f>SUM(L4:L85)</f>
        <v>62577605.220000014</v>
      </c>
      <c r="M86" s="33">
        <f>SUM(M4:M85)</f>
        <v>60913742.969999999</v>
      </c>
      <c r="N86" s="33">
        <f t="shared" ref="N86:Y86" si="18">SUM(N4:N85)</f>
        <v>-733.3900000000001</v>
      </c>
      <c r="O86" s="33">
        <f t="shared" si="18"/>
        <v>18588979.029999997</v>
      </c>
      <c r="P86" s="33">
        <f t="shared" si="18"/>
        <v>0</v>
      </c>
      <c r="Q86" s="23">
        <f t="shared" si="18"/>
        <v>1170537.67</v>
      </c>
      <c r="R86" s="23">
        <f t="shared" si="18"/>
        <v>4250685.0099999979</v>
      </c>
      <c r="S86" s="23">
        <f t="shared" si="18"/>
        <v>3459890.5000000019</v>
      </c>
      <c r="T86" s="23">
        <f t="shared" si="18"/>
        <v>1961332.1800000009</v>
      </c>
      <c r="U86" s="205">
        <f t="shared" si="18"/>
        <v>204239.95</v>
      </c>
      <c r="V86" s="205">
        <f t="shared" si="18"/>
        <v>2637242.4600000009</v>
      </c>
      <c r="W86" s="205">
        <f t="shared" si="18"/>
        <v>17356424.210000005</v>
      </c>
      <c r="X86" s="207">
        <f t="shared" si="18"/>
        <v>369322.01</v>
      </c>
      <c r="Y86" s="205">
        <f t="shared" si="18"/>
        <v>3886673.51</v>
      </c>
      <c r="Z86" s="205">
        <f t="shared" ref="Z86:AK86" si="19">SUM(Z4:Z85)</f>
        <v>29177.120000000006</v>
      </c>
      <c r="AA86" s="34">
        <f t="shared" si="19"/>
        <v>2767611.8599999994</v>
      </c>
      <c r="AB86" s="205">
        <f>SUM(AB4:AB85)</f>
        <v>116708.56000000004</v>
      </c>
      <c r="AC86" s="207">
        <f t="shared" si="19"/>
        <v>208579.15000000005</v>
      </c>
      <c r="AD86" s="205">
        <f t="shared" si="19"/>
        <v>2433289.0599999996</v>
      </c>
      <c r="AE86" s="34">
        <f t="shared" si="19"/>
        <v>9580042.9799999986</v>
      </c>
      <c r="AF86" s="205">
        <f t="shared" si="19"/>
        <v>257292.82</v>
      </c>
      <c r="AG86" s="205">
        <f t="shared" si="19"/>
        <v>4214219.97</v>
      </c>
      <c r="AH86" s="23">
        <f t="shared" si="19"/>
        <v>44060823.660000011</v>
      </c>
      <c r="AI86" s="208">
        <f t="shared" si="19"/>
        <v>9807518.7599999998</v>
      </c>
      <c r="AJ86" s="208">
        <f>SUM(AJ4:AJ85)</f>
        <v>5203838.66</v>
      </c>
      <c r="AK86" s="35">
        <f t="shared" si="19"/>
        <v>3786621.73</v>
      </c>
      <c r="AL86" s="35">
        <f>SUM(AL4:AL85)</f>
        <v>2855447.3099999982</v>
      </c>
      <c r="AM86" s="208">
        <f>SUM(AM4:AM85)</f>
        <v>4457010.4699999988</v>
      </c>
      <c r="AN86" s="23">
        <f>SUM(AN4:AN85)</f>
        <v>26110436.930000003</v>
      </c>
      <c r="AO86" s="23">
        <f>SUM(AO4:AO85)</f>
        <v>70171260.590000018</v>
      </c>
      <c r="AP86" s="127">
        <f>SUM(AP4:AP85)</f>
        <v>5797627.1200000001</v>
      </c>
      <c r="AQ86" s="22"/>
    </row>
    <row r="87" spans="1:43">
      <c r="A87" s="4"/>
      <c r="B87" s="4"/>
      <c r="C87" s="4"/>
      <c r="D87" s="76"/>
      <c r="E87" s="76"/>
      <c r="F87" s="76"/>
      <c r="G87" s="76"/>
      <c r="H87" s="76"/>
      <c r="I87" s="76"/>
      <c r="J87" s="76"/>
      <c r="K87" s="212">
        <f>'[5]УК ЖЭУ-7 2020 год'!$I$109</f>
        <v>16925850.169999998</v>
      </c>
      <c r="L87" s="213">
        <f>'[5]УК ЖЭУ-7 2020 год'!$J$109</f>
        <v>62577605.220000006</v>
      </c>
      <c r="M87" s="214">
        <f>'[5]УК ЖЭУ-7 2020 год'!$M$109</f>
        <v>60913742.970000006</v>
      </c>
      <c r="N87" s="214">
        <f>'[5]УК ЖЭУ-7 2020 год'!$K$109</f>
        <v>-733.3900000000001</v>
      </c>
      <c r="O87" s="214">
        <f>'[5]УК ЖЭУ-7 2020 год'!$N$109</f>
        <v>18588979.030000009</v>
      </c>
      <c r="P87" s="214"/>
      <c r="Q87" s="131"/>
      <c r="R87" s="131"/>
      <c r="S87" s="131"/>
      <c r="T87" s="131"/>
      <c r="U87" s="206">
        <f>'[6]тариф начисл. 2020 с янв'!$P$100</f>
        <v>204240</v>
      </c>
      <c r="V87" s="206">
        <f>[6]авг!$F$94+'[6]тариф начисл. 2020 с янв'!$O$100</f>
        <v>2753877</v>
      </c>
      <c r="W87" s="206">
        <f>'[6]тариф начисл. 2020 с янв'!$N$100</f>
        <v>17356424</v>
      </c>
      <c r="X87" s="182">
        <f>'[6]тариф начисл. 2020 с янв'!$BC$93</f>
        <v>369322.01</v>
      </c>
      <c r="Y87" s="206">
        <f>'[6]тариф начисл. 2020 с янв'!$BE$93</f>
        <v>3794231</v>
      </c>
      <c r="Z87" s="183">
        <f>'[6]тариф начисл. 2020 с янв'!$AC$100</f>
        <v>29177</v>
      </c>
      <c r="AA87" s="182">
        <f>'[6]тариф начисл. 2020 с янв'!$AD$100+'[6]тариф начисл. 2020 с янв'!$AE$100</f>
        <v>2762054</v>
      </c>
      <c r="AB87" s="182">
        <f>'[6]тариф начисл. 2020 с янв'!$AA$100</f>
        <v>116709</v>
      </c>
      <c r="AC87" s="182">
        <f>'[6]тариф начисл. 2020 с янв'!$AB$100</f>
        <v>87531</v>
      </c>
      <c r="AD87" s="182">
        <f>'[6]тариф начисл. 2020 с янв'!$Y$100</f>
        <v>2433289</v>
      </c>
      <c r="AE87" s="182">
        <f>'[6]тариф начисл. 2020 с янв'!$V$100</f>
        <v>9580043</v>
      </c>
      <c r="AF87" s="206">
        <f>'[3]тариф начисл. 2019 с янв'!$T$93</f>
        <v>377293</v>
      </c>
      <c r="AG87" s="182">
        <f>'[6]тариф начисл. 2020 с янв'!$BA$100</f>
        <v>4214220</v>
      </c>
      <c r="AH87" s="16"/>
      <c r="AI87" s="184">
        <f>'[6]тариф начисл. 2020 с янв'!$AJ$100</f>
        <v>8714611</v>
      </c>
      <c r="AJ87" s="184">
        <f>'[6]тариф начисл. 2020 с янв'!$AO$100</f>
        <v>4756074</v>
      </c>
      <c r="AK87" s="185">
        <f>'[6]тариф начисл. 2020 с янв'!$AS$100</f>
        <v>3761916</v>
      </c>
      <c r="AL87" s="184">
        <f>'[6]тариф начисл. 2020 с янв'!$AW$100</f>
        <v>2841201</v>
      </c>
      <c r="AM87" s="184">
        <f>'[6]тариф начисл. 2020 с янв'!$AZ$100</f>
        <v>4272742</v>
      </c>
      <c r="AN87" s="16"/>
      <c r="AO87" s="131"/>
      <c r="AP87" s="127"/>
      <c r="AQ87" s="22"/>
    </row>
    <row r="88" spans="1:43" ht="15">
      <c r="A88" s="29"/>
      <c r="B88" s="29"/>
      <c r="C88" s="29"/>
      <c r="D88" s="79"/>
      <c r="E88" s="79"/>
      <c r="F88" s="79"/>
      <c r="G88" s="79"/>
      <c r="H88" s="79"/>
      <c r="I88" s="80"/>
      <c r="J88" s="79"/>
      <c r="K88" s="79"/>
      <c r="L88" s="91"/>
      <c r="M88" s="91"/>
      <c r="N88" s="91"/>
      <c r="O88" s="91"/>
      <c r="P88" s="91"/>
      <c r="Q88" s="91"/>
      <c r="R88" s="126"/>
      <c r="S88" s="126"/>
      <c r="T88" s="126"/>
      <c r="U88" s="126"/>
      <c r="V88" s="126"/>
      <c r="W88" s="126"/>
      <c r="X88" s="136"/>
      <c r="Y88" s="136"/>
      <c r="Z88" s="29"/>
      <c r="AA88" s="126"/>
      <c r="AB88" s="136"/>
      <c r="AC88" s="136"/>
      <c r="AD88" s="136"/>
      <c r="AE88" s="136"/>
      <c r="AF88" s="126"/>
      <c r="AG88" s="136"/>
      <c r="AH88" s="180"/>
      <c r="AI88" s="204"/>
      <c r="AJ88" s="152"/>
      <c r="AK88" s="259"/>
      <c r="AL88" s="260"/>
      <c r="AM88" s="146"/>
      <c r="AN88" s="180"/>
      <c r="AO88" s="180"/>
    </row>
    <row r="89" spans="1:43">
      <c r="A89" s="4"/>
      <c r="B89" s="4"/>
      <c r="C89" s="4"/>
      <c r="D89" s="81"/>
      <c r="E89" s="81"/>
      <c r="F89" s="81"/>
      <c r="G89" s="81"/>
      <c r="H89" s="81"/>
      <c r="I89" s="82"/>
      <c r="J89" s="81"/>
      <c r="K89" s="81"/>
      <c r="L89" s="90"/>
      <c r="M89" s="128"/>
      <c r="N89" s="128"/>
      <c r="O89" s="90"/>
      <c r="P89" s="90"/>
      <c r="Q89" s="90"/>
      <c r="R89" s="127"/>
      <c r="S89" s="127"/>
      <c r="T89" s="127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181"/>
      <c r="AI89" s="4"/>
      <c r="AJ89" s="4"/>
      <c r="AK89" s="4"/>
      <c r="AL89" s="4"/>
      <c r="AM89" s="4"/>
      <c r="AN89" s="181"/>
      <c r="AO89" s="181"/>
    </row>
    <row r="90" spans="1:43">
      <c r="A90" s="109"/>
      <c r="B90" s="109"/>
      <c r="C90" s="109"/>
      <c r="D90" s="132"/>
      <c r="E90" s="132"/>
      <c r="F90" s="132"/>
      <c r="G90" s="132"/>
      <c r="H90" s="132"/>
      <c r="I90" s="133"/>
      <c r="J90" s="132"/>
      <c r="K90" s="132"/>
      <c r="L90" s="134"/>
      <c r="M90" s="135"/>
      <c r="N90" s="135"/>
      <c r="O90" s="134"/>
      <c r="P90" s="134"/>
      <c r="Q90" s="134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79"/>
      <c r="AI90" s="109"/>
      <c r="AJ90" s="109"/>
      <c r="AK90" s="109"/>
      <c r="AL90" s="109"/>
      <c r="AM90" s="109"/>
      <c r="AN90" s="179"/>
      <c r="AO90" s="179"/>
    </row>
    <row r="91" spans="1:43">
      <c r="A91" s="109"/>
      <c r="B91" s="109"/>
      <c r="C91" s="109"/>
      <c r="D91" s="132"/>
      <c r="E91" s="132"/>
      <c r="F91" s="132"/>
      <c r="G91" s="132"/>
      <c r="H91" s="132"/>
      <c r="I91" s="133"/>
      <c r="J91" s="132"/>
      <c r="K91" s="132"/>
      <c r="L91" s="134"/>
      <c r="M91" s="135"/>
      <c r="N91" s="135"/>
      <c r="O91" s="134"/>
      <c r="P91" s="134"/>
      <c r="Q91" s="134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79"/>
      <c r="AI91" s="109"/>
      <c r="AJ91" s="109"/>
      <c r="AK91" s="109"/>
      <c r="AL91" s="109"/>
      <c r="AM91" s="109"/>
      <c r="AN91" s="179"/>
      <c r="AO91" s="179"/>
    </row>
    <row r="92" spans="1:43">
      <c r="T92" s="22"/>
    </row>
    <row r="94" spans="1:43">
      <c r="R94" s="22"/>
    </row>
  </sheetData>
  <autoFilter ref="A3:AO86"/>
  <mergeCells count="1">
    <mergeCell ref="AK88:AL88"/>
  </mergeCells>
  <phoneticPr fontId="9" type="noConversion"/>
  <hyperlinks>
    <hyperlink ref="D4" location="'1.  Анкудинова 1 '!A1" display="Анкудинова"/>
    <hyperlink ref="D5" location="'2.  Анкудинова 3'!A1" display="Анкудинова"/>
    <hyperlink ref="D6" location="'3.  Анкудинова 5'!A1" display="Анкудинова"/>
    <hyperlink ref="D7" location="'4.  Анкудинова 7'!A1" display="Анкудинова"/>
    <hyperlink ref="D8" location="'5.  Анкудинова 9'!A1" display="Анкудинова"/>
    <hyperlink ref="D9" location="'6.  Анкудинова 11'!A1" display="Анкудинова"/>
    <hyperlink ref="D10" location="'7.  Анкудинова 13'!A1" display="Анкудинова"/>
    <hyperlink ref="D11" location="'9.  Анкудинова 17'!A1" display="Анкудинова"/>
    <hyperlink ref="D12" location="'12.  Анкудинова  11А '!A1" display="Анкудинова"/>
    <hyperlink ref="D13" location="'13.  Анкудинова 17А '!A1" display="Анкудинова"/>
    <hyperlink ref="D14" location="'10.  Анкудинова 3Б'!A1" display="Анкудинова"/>
    <hyperlink ref="D15" location="'11.  Анкудинова 5А'!A1" display="Анкудинова"/>
    <hyperlink ref="D23" location="'19. Горького 20'!A1" display="Горького"/>
    <hyperlink ref="D24" location="'20. Горького 22'!A1" display="Горького"/>
    <hyperlink ref="D25" location="'21. Горького 14А'!A1" display="Горького"/>
    <hyperlink ref="D29" location="'23. Комсомольская 165'!A1" display="Комсомольская"/>
    <hyperlink ref="D30" location="'24. Комсомольская 167'!A1" display="Комсомольская"/>
    <hyperlink ref="D31" location="'25. Комсомольская 169'!A1" display="Комсомольская"/>
    <hyperlink ref="D32" location="'28.  Комсомольская 191'!A1" display="Комсомольская"/>
    <hyperlink ref="D33" location="'29.  Комсомольская 193'!A1" display="Комсомольская"/>
    <hyperlink ref="D34" location="'30.  Комсомольская 195'!A1" display="Комсомольская"/>
    <hyperlink ref="D35" location="'32. Комсомольская 167А'!A1" display="Комсомольская"/>
    <hyperlink ref="D36" location="'35.  пр.Мира 157'!A1" display="Мира"/>
    <hyperlink ref="D37" location="'36.  пр .Мира 161'!A1" display="Мира"/>
    <hyperlink ref="D38" location="'37.  пр.Мира 163'!A1" display="Мира"/>
    <hyperlink ref="D40" location="'39.  пр.Мира 163А '!A1" display="Мира"/>
    <hyperlink ref="D41" location="'40. Победы 4 '!A1" display="Победы"/>
    <hyperlink ref="D42" location="'41. Победы 6'!A1" display="Победы"/>
    <hyperlink ref="D46" location="'43. Победы 8'!A1" display="Победы"/>
    <hyperlink ref="D47" location="'44. Победы 10'!A1" display="Победы"/>
    <hyperlink ref="D49" location="'46. Победы 12'!A1" display="Победы"/>
    <hyperlink ref="D50" location="'47. Победы 14'!A1" display="Победы"/>
    <hyperlink ref="D51" location="'48. Победы 16'!A1" display="Победы"/>
    <hyperlink ref="D52" location="'49. Победы 18'!A1" display="Победы"/>
    <hyperlink ref="D53" location="'50. Победы 26'!A1" display="Победы"/>
    <hyperlink ref="D55" location="'52.  пр.Победы 50'!A1" display="Победы"/>
    <hyperlink ref="D56" location="'54.  пр.Победы 12А '!A1" display="Победы"/>
    <hyperlink ref="D57" location="'62.  Поповича 14'!A1" display="Поповича"/>
    <hyperlink ref="D59" location="'71.  Поповича 43'!A1" display="Поповича"/>
    <hyperlink ref="D60" location="'72.  Поповича 45'!A1" display="Поповича"/>
    <hyperlink ref="D61" location="'73.  Поповича 47'!A1" display="Поповича"/>
    <hyperlink ref="D62" location="'80.  Поповича 18А'!A1" display="Поповича"/>
    <hyperlink ref="D63" location="'87.  Поповича 20А'!A1" display="Поповича"/>
    <hyperlink ref="D66" location="'96.  Поповича 45А'!A1" display="Поповича"/>
    <hyperlink ref="D67" location="'68.  Поповича 25 '!A1" display="Поповича           "/>
    <hyperlink ref="D68" location="'95.  Поповича 43А'!A1" display="Поповича              "/>
    <hyperlink ref="D64" location="'91.  Поповича 22А'!A1" display="Поповича               "/>
    <hyperlink ref="D65" location="'94.  Поповича 24А'!A1" display="Поповича               "/>
    <hyperlink ref="D78" location="'98.  Физкультурная 122'!A1" display="Физкультурная"/>
    <hyperlink ref="D79" location="'99.  Физкультурная 124'!A1" display="Физкультурная"/>
    <hyperlink ref="D80" location="'100.  Физкультурная 126'!A1" display="Физкультурная"/>
    <hyperlink ref="D81" location="'101.  Физкультурная 128'!A1" display="Физкультурная"/>
    <hyperlink ref="D82" location="'102.  Физкультурная 130'!A1" display="Физкультурная"/>
    <hyperlink ref="D83" location="'103.  Физкультурная 124А'!A1" display="Физкультурная"/>
    <hyperlink ref="D84" location="'106.  Физкультурная 126Б'!A1" display="Физкультурная"/>
    <hyperlink ref="D26" location="'Горького 20А'!R1C1" display="Горького"/>
    <hyperlink ref="D54" location="'51. Победы 48'!A1" display="Победы"/>
    <hyperlink ref="D45" location="'42. Победы 6-Б'!A1" display="Победы"/>
    <hyperlink ref="D39" location="'38. Мира 161-А'!A1" display="Мира"/>
    <hyperlink ref="D17" location="'15. Горького 12'!A1" display="Горького"/>
    <hyperlink ref="D48" location="'45. Победы 10-Б'!A1" display="Победы"/>
    <hyperlink ref="D16" location="'14. Тихоокеанская 27'!A1" display="Тихоокеанская"/>
    <hyperlink ref="D43" location="'Победы 6А -2'!R1C1" display="Победы"/>
    <hyperlink ref="D27" location="'Дзержинского 12'!A1" display="Дзержинского"/>
    <hyperlink ref="D69" location="'Невельского 4'!R1C1" display="Невельского"/>
    <hyperlink ref="D44" location="'42. Победы 6-А-1'!A1" display="Победы"/>
    <hyperlink ref="D22" location="'18. Горького 18 а'!R1C1" display="Горького"/>
    <hyperlink ref="D21" location="'18. Горького 18'!A1" display="Горького"/>
    <hyperlink ref="D20" location="'17. Горького 16'!A1" display="Горького"/>
    <hyperlink ref="D19" location="'16. Горького 14'!A1" display="Горького"/>
    <hyperlink ref="D18" location="'16. Горького 11б'!A1" display="Горького"/>
    <hyperlink ref="D71" location="'Невелская 14-2'!A1" display="Невельского"/>
    <hyperlink ref="D75" location="'Фабричная 14А'!R1C1" display="Фабричная"/>
    <hyperlink ref="D74" location="'Сахалинская 13'!R1C1" display="Сахалинская "/>
    <hyperlink ref="D77" location="'98.  Физкультурная 120'!R1C1" display="Физкультурная"/>
    <hyperlink ref="D70" location="'Невелская 14-1'!A1" display="Невельская "/>
    <hyperlink ref="D72" location="'Озерная 2а'!A1" display="Озерная"/>
    <hyperlink ref="D58" location="'Поповича 21'!A1" display="Поповича"/>
    <hyperlink ref="D73" location="'Озерная 2б'!A1" display="Озерная"/>
    <hyperlink ref="D28" location="'Дзержинского 12а'!A1" display="Дзержинского"/>
    <hyperlink ref="D76" location="'Емельянова 43'!A1" display="'Емельянова 43'!A1"/>
  </hyperlinks>
  <pageMargins left="0.2" right="0.19" top="0.17" bottom="0.28000000000000003" header="0.17" footer="0.17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8">
    <tabColor rgb="FFFFFFCC"/>
  </sheetPr>
  <dimension ref="B1:F60"/>
  <sheetViews>
    <sheetView topLeftCell="A8" workbookViewId="0">
      <selection activeCell="F19" sqref="F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345</v>
      </c>
      <c r="C3" s="264"/>
      <c r="D3" s="264"/>
    </row>
    <row r="4" spans="2:6" ht="15.75" thickBot="1">
      <c r="B4" s="57" t="s">
        <v>219</v>
      </c>
      <c r="C4" s="226">
        <f>'Свод 2020'!H12</f>
        <v>2711.4</v>
      </c>
      <c r="D4" s="217">
        <f>'Свод 2020'!J12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2020'!H12</f>
        <v>2711.4</v>
      </c>
    </row>
    <row r="6" spans="2:6" ht="30">
      <c r="B6" s="178" t="s">
        <v>321</v>
      </c>
      <c r="C6" s="272">
        <f>'Свод 2020'!K12</f>
        <v>95364.469999999856</v>
      </c>
      <c r="D6" s="273"/>
    </row>
    <row r="7" spans="2:6" ht="15">
      <c r="B7" s="40" t="s">
        <v>322</v>
      </c>
      <c r="C7" s="261">
        <f>'Свод 2020'!L12</f>
        <v>679368.6</v>
      </c>
      <c r="D7" s="262"/>
    </row>
    <row r="8" spans="2:6" ht="15">
      <c r="B8" s="40" t="s">
        <v>323</v>
      </c>
      <c r="C8" s="261">
        <f>'Свод 2020'!M12</f>
        <v>692075.24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82657.829999999842</v>
      </c>
      <c r="D10" s="275"/>
      <c r="E10" s="22">
        <f>'Свод 2020'!O12</f>
        <v>82657.829999999842</v>
      </c>
      <c r="F10" s="125"/>
    </row>
    <row r="11" spans="2:6" ht="30">
      <c r="B11" s="178" t="s">
        <v>333</v>
      </c>
      <c r="C11" s="261">
        <f>'Свод 2020'!Q12</f>
        <v>2520.5500000000011</v>
      </c>
      <c r="D11" s="262"/>
    </row>
    <row r="12" spans="2:6" ht="15">
      <c r="B12" s="40" t="s">
        <v>324</v>
      </c>
      <c r="C12" s="261">
        <f>'Свод 2020'!R12</f>
        <v>9754.77</v>
      </c>
      <c r="D12" s="262"/>
    </row>
    <row r="13" spans="2:6" ht="15">
      <c r="B13" s="40" t="s">
        <v>325</v>
      </c>
      <c r="C13" s="261">
        <f>'Свод 2020'!S12</f>
        <v>5232.47</v>
      </c>
      <c r="D13" s="262"/>
    </row>
    <row r="14" spans="2:6" ht="28.5">
      <c r="B14" s="41" t="s">
        <v>151</v>
      </c>
      <c r="C14" s="274">
        <f>C11+C12-C13</f>
        <v>7042.8500000000013</v>
      </c>
      <c r="D14" s="275"/>
      <c r="E14" s="22">
        <f>'Свод 2020'!T12</f>
        <v>7042.8500000000013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2020'!W12</f>
        <v>198799.85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2020'!U12</f>
        <v>2277.58</v>
      </c>
    </row>
    <row r="22" spans="2:5" ht="15">
      <c r="B22" s="46" t="s">
        <v>134</v>
      </c>
      <c r="C22" s="47" t="s">
        <v>60</v>
      </c>
      <c r="D22" s="48">
        <f>'Свод 2020'!V12</f>
        <v>56590.159999999996</v>
      </c>
    </row>
    <row r="23" spans="2:5" ht="30">
      <c r="B23" s="46" t="s">
        <v>161</v>
      </c>
      <c r="C23" s="94" t="s">
        <v>138</v>
      </c>
      <c r="D23" s="48">
        <f>'Свод 2020'!AA12+'Свод 2020'!Z12</f>
        <v>30909.969999999998</v>
      </c>
    </row>
    <row r="24" spans="2:5" ht="28.5" customHeight="1">
      <c r="B24" s="124" t="s">
        <v>141</v>
      </c>
      <c r="C24" s="49" t="s">
        <v>140</v>
      </c>
      <c r="D24" s="209">
        <f>'Свод 2020'!AC12</f>
        <v>1945.56</v>
      </c>
    </row>
    <row r="25" spans="2:5" ht="28.5" customHeight="1">
      <c r="B25" s="154" t="s">
        <v>142</v>
      </c>
      <c r="C25" s="98" t="s">
        <v>143</v>
      </c>
      <c r="D25" s="215">
        <f>'Свод 2020'!AB12</f>
        <v>1301.47</v>
      </c>
    </row>
    <row r="26" spans="2:5" ht="21.75" customHeight="1">
      <c r="B26" s="202" t="s">
        <v>153</v>
      </c>
      <c r="C26" s="47" t="s">
        <v>59</v>
      </c>
      <c r="D26" s="203">
        <f>'Свод 2020'!AD12</f>
        <v>28632.38</v>
      </c>
    </row>
    <row r="27" spans="2:5" ht="30.75" customHeight="1">
      <c r="B27" s="105" t="s">
        <v>144</v>
      </c>
      <c r="C27" s="164" t="s">
        <v>135</v>
      </c>
      <c r="D27" s="283">
        <f>'Свод 2020'!AE12</f>
        <v>105419.23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2020'!AG12</f>
        <v>46852.99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2020'!AI12</f>
        <v>101189.45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2020'!AK12</f>
        <v>30909.96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2020'!AL12</f>
        <v>27330.91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2020'!AM12</f>
        <v>47503.73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2020'!AJ12</f>
        <v>53034.98</v>
      </c>
      <c r="E42" s="22">
        <f>D43-C8-C13</f>
        <v>35390.509999999864</v>
      </c>
    </row>
    <row r="43" spans="2:5" ht="15" thickBot="1">
      <c r="B43" s="229" t="s">
        <v>253</v>
      </c>
      <c r="C43" s="230"/>
      <c r="D43" s="231">
        <f>SUM(D19:D42)</f>
        <v>732698.21999999986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1" right="0.18" top="0.28000000000000003" bottom="0.19" header="0.17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1">
    <tabColor rgb="FFFFFFCC"/>
  </sheetPr>
  <dimension ref="B1:F60"/>
  <sheetViews>
    <sheetView topLeftCell="A14" workbookViewId="0">
      <selection activeCell="F18" sqref="F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346</v>
      </c>
      <c r="C3" s="264"/>
      <c r="D3" s="264"/>
    </row>
    <row r="4" spans="2:6" ht="15.75" thickBot="1">
      <c r="B4" s="57" t="s">
        <v>220</v>
      </c>
      <c r="C4" s="226">
        <f>'Свод 2020'!H13</f>
        <v>2741.2</v>
      </c>
      <c r="D4" s="217">
        <f>'Свод 2020'!J13</f>
        <v>22.28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2020'!H13</f>
        <v>2741.2</v>
      </c>
    </row>
    <row r="6" spans="2:6" ht="30">
      <c r="B6" s="178" t="s">
        <v>321</v>
      </c>
      <c r="C6" s="272">
        <f>'Свод 2020'!K13</f>
        <v>168330.62000000011</v>
      </c>
      <c r="D6" s="273"/>
    </row>
    <row r="7" spans="2:6" ht="15">
      <c r="B7" s="40" t="s">
        <v>322</v>
      </c>
      <c r="C7" s="261">
        <f>'Свод 2020'!L13</f>
        <v>732887.16</v>
      </c>
      <c r="D7" s="262"/>
    </row>
    <row r="8" spans="2:6" ht="15">
      <c r="B8" s="40" t="s">
        <v>323</v>
      </c>
      <c r="C8" s="261">
        <f>'Свод 2020'!M13</f>
        <v>711132.22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190085.56000000017</v>
      </c>
      <c r="D10" s="275"/>
      <c r="E10" s="22">
        <f>'Свод 2020'!O13</f>
        <v>190085.56000000017</v>
      </c>
      <c r="F10" s="125"/>
    </row>
    <row r="11" spans="2:6" ht="30">
      <c r="B11" s="178" t="s">
        <v>333</v>
      </c>
      <c r="C11" s="261">
        <f>'Свод 2020'!Q13</f>
        <v>2520.5500000000011</v>
      </c>
      <c r="D11" s="262"/>
    </row>
    <row r="12" spans="2:6" ht="15">
      <c r="B12" s="40" t="s">
        <v>324</v>
      </c>
      <c r="C12" s="261">
        <f>'Свод 2020'!R13</f>
        <v>9754.77</v>
      </c>
      <c r="D12" s="262"/>
    </row>
    <row r="13" spans="2:6" ht="15">
      <c r="B13" s="40" t="s">
        <v>325</v>
      </c>
      <c r="C13" s="261">
        <f>'Свод 2020'!S13</f>
        <v>5232.47</v>
      </c>
      <c r="D13" s="262"/>
    </row>
    <row r="14" spans="2:6" ht="28.5">
      <c r="B14" s="41" t="s">
        <v>151</v>
      </c>
      <c r="C14" s="274">
        <f>C11+C12-C13</f>
        <v>7042.8500000000013</v>
      </c>
      <c r="D14" s="275"/>
      <c r="E14" s="22">
        <f>'Свод 2020'!T13</f>
        <v>7042.8500000000013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2020'!W13</f>
        <v>200984.78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2020'!U13</f>
        <v>2302.61</v>
      </c>
    </row>
    <row r="22" spans="2:5" ht="15">
      <c r="B22" s="46" t="s">
        <v>134</v>
      </c>
      <c r="C22" s="47" t="s">
        <v>60</v>
      </c>
      <c r="D22" s="48">
        <f>'Свод 2020'!V13</f>
        <v>41239.570000000007</v>
      </c>
    </row>
    <row r="23" spans="2:5" ht="30">
      <c r="B23" s="46" t="s">
        <v>161</v>
      </c>
      <c r="C23" s="94" t="s">
        <v>138</v>
      </c>
      <c r="D23" s="48">
        <f>'Свод 2020'!AA13+'Свод 2020'!Z13</f>
        <v>31249.68</v>
      </c>
    </row>
    <row r="24" spans="2:5" ht="28.5" customHeight="1">
      <c r="B24" s="124" t="s">
        <v>141</v>
      </c>
      <c r="C24" s="49" t="s">
        <v>140</v>
      </c>
      <c r="D24" s="209">
        <f>'Свод 2020'!AC13</f>
        <v>1852.99</v>
      </c>
    </row>
    <row r="25" spans="2:5" ht="28.5" customHeight="1">
      <c r="B25" s="154" t="s">
        <v>142</v>
      </c>
      <c r="C25" s="98" t="s">
        <v>143</v>
      </c>
      <c r="D25" s="215">
        <f>'Свод 2020'!AB13</f>
        <v>1315.78</v>
      </c>
    </row>
    <row r="26" spans="2:5" ht="21.75" customHeight="1">
      <c r="B26" s="202" t="s">
        <v>153</v>
      </c>
      <c r="C26" s="47" t="s">
        <v>59</v>
      </c>
      <c r="D26" s="203">
        <f>'Свод 2020'!AD13</f>
        <v>28947.07</v>
      </c>
    </row>
    <row r="27" spans="2:5" ht="30.75" customHeight="1">
      <c r="B27" s="105" t="s">
        <v>144</v>
      </c>
      <c r="C27" s="164" t="s">
        <v>135</v>
      </c>
      <c r="D27" s="283">
        <f>'Свод 2020'!AE13</f>
        <v>106577.86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2020'!AG13</f>
        <v>47367.94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2020'!AI13</f>
        <v>102301.58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2020'!AK13</f>
        <v>31249.68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2020'!AL13</f>
        <v>27960.240000000002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2020'!AM13</f>
        <v>48025.82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2020'!AJ13</f>
        <v>78520.87</v>
      </c>
      <c r="E42" s="22">
        <f>D43-C8-C13</f>
        <v>33531.78</v>
      </c>
    </row>
    <row r="43" spans="2:5" ht="15" thickBot="1">
      <c r="B43" s="229" t="s">
        <v>253</v>
      </c>
      <c r="C43" s="230"/>
      <c r="D43" s="231">
        <f>SUM(D19:D42)</f>
        <v>749896.47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17" right="0.19" top="0.17" bottom="0.17" header="0.17" footer="0.1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6">
    <tabColor rgb="FFFFFFCC"/>
  </sheetPr>
  <dimension ref="B1:F60"/>
  <sheetViews>
    <sheetView topLeftCell="A35" workbookViewId="0">
      <selection activeCell="F19" sqref="F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347</v>
      </c>
      <c r="C3" s="264"/>
      <c r="D3" s="264"/>
    </row>
    <row r="4" spans="2:6" ht="15.75" thickBot="1">
      <c r="B4" s="57" t="s">
        <v>221</v>
      </c>
      <c r="C4" s="226">
        <f>'Свод 2020'!H14</f>
        <v>1843.3</v>
      </c>
      <c r="D4" s="217">
        <f>'Свод 2020'!J14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2020'!H14</f>
        <v>1843.3</v>
      </c>
      <c r="F5" s="22">
        <f>'Свод 2020'!J14</f>
        <v>21.73</v>
      </c>
    </row>
    <row r="6" spans="2:6" ht="30">
      <c r="B6" s="178" t="s">
        <v>321</v>
      </c>
      <c r="C6" s="272">
        <f>'Свод 2020'!K14</f>
        <v>34693.5799999999</v>
      </c>
      <c r="D6" s="273"/>
    </row>
    <row r="7" spans="2:6" ht="15">
      <c r="B7" s="40" t="s">
        <v>322</v>
      </c>
      <c r="C7" s="261">
        <f>'Свод 2020'!L14</f>
        <v>374868.84</v>
      </c>
      <c r="D7" s="262"/>
    </row>
    <row r="8" spans="2:6" ht="15">
      <c r="B8" s="40" t="s">
        <v>323</v>
      </c>
      <c r="C8" s="261">
        <f>'Свод 2020'!M14</f>
        <v>373243.08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36319.339999999909</v>
      </c>
      <c r="D10" s="275"/>
      <c r="E10" s="22">
        <f>'Свод 2020'!O14</f>
        <v>36319.339999999909</v>
      </c>
      <c r="F10" s="125"/>
    </row>
    <row r="11" spans="2:6" ht="30">
      <c r="B11" s="178" t="s">
        <v>333</v>
      </c>
      <c r="C11" s="261">
        <f>'Свод 2020'!Q14</f>
        <v>32407.369999999981</v>
      </c>
      <c r="D11" s="262"/>
    </row>
    <row r="12" spans="2:6" ht="15">
      <c r="B12" s="40" t="s">
        <v>324</v>
      </c>
      <c r="C12" s="261">
        <f>'Свод 2020'!R14</f>
        <v>114120.13</v>
      </c>
      <c r="D12" s="262"/>
    </row>
    <row r="13" spans="2:6" ht="15">
      <c r="B13" s="40" t="s">
        <v>325</v>
      </c>
      <c r="C13" s="261">
        <f>'Свод 2020'!S14</f>
        <v>32490.93</v>
      </c>
      <c r="D13" s="262"/>
    </row>
    <row r="14" spans="2:6" ht="28.5">
      <c r="B14" s="41" t="s">
        <v>151</v>
      </c>
      <c r="C14" s="274">
        <f>C11+C12-C13</f>
        <v>114036.57</v>
      </c>
      <c r="D14" s="275"/>
      <c r="E14" s="22">
        <f>'Свод 2020'!T14</f>
        <v>114036.57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2020'!W14</f>
        <v>135150.76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2020'!U14</f>
        <v>1548.37</v>
      </c>
    </row>
    <row r="22" spans="2:5" ht="15">
      <c r="B22" s="46" t="s">
        <v>134</v>
      </c>
      <c r="C22" s="47" t="s">
        <v>60</v>
      </c>
      <c r="D22" s="48">
        <f>'Свод 2020'!V14</f>
        <v>19861.7</v>
      </c>
    </row>
    <row r="23" spans="2:5" ht="30">
      <c r="B23" s="46" t="s">
        <v>161</v>
      </c>
      <c r="C23" s="94" t="s">
        <v>138</v>
      </c>
      <c r="D23" s="48">
        <f>'Свод 2020'!AA14+'Свод 2020'!Z14</f>
        <v>21013.62</v>
      </c>
    </row>
    <row r="24" spans="2:5" ht="28.5" customHeight="1">
      <c r="B24" s="124" t="s">
        <v>141</v>
      </c>
      <c r="C24" s="49" t="s">
        <v>140</v>
      </c>
      <c r="D24" s="209">
        <f>'Свод 2020'!AC14</f>
        <v>1370.47</v>
      </c>
    </row>
    <row r="25" spans="2:5" ht="28.5" customHeight="1">
      <c r="B25" s="154" t="s">
        <v>142</v>
      </c>
      <c r="C25" s="98" t="s">
        <v>143</v>
      </c>
      <c r="D25" s="215">
        <f>'Свод 2020'!AB14</f>
        <v>884.78</v>
      </c>
    </row>
    <row r="26" spans="2:5" ht="21.75" customHeight="1">
      <c r="B26" s="202" t="s">
        <v>153</v>
      </c>
      <c r="C26" s="47" t="s">
        <v>59</v>
      </c>
      <c r="D26" s="203">
        <f>'Свод 2020'!AD14</f>
        <v>19465.25</v>
      </c>
    </row>
    <row r="27" spans="2:5" ht="30.75" customHeight="1">
      <c r="B27" s="105" t="s">
        <v>144</v>
      </c>
      <c r="C27" s="164" t="s">
        <v>135</v>
      </c>
      <c r="D27" s="283">
        <f>'Свод 2020'!AE14</f>
        <v>71667.5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2020'!AG14</f>
        <v>31852.22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2020'!AI14</f>
        <v>70441.960000000006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2020'!AK14</f>
        <v>39594.080000000002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2020'!AL14</f>
        <v>18801.66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2020'!AM14</f>
        <v>32294.62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2020'!AJ14</f>
        <v>36054.949999999997</v>
      </c>
      <c r="E42" s="22">
        <f>D43-C8-C13</f>
        <v>94267.930000000051</v>
      </c>
    </row>
    <row r="43" spans="2:5" ht="15" thickBot="1">
      <c r="B43" s="229" t="s">
        <v>253</v>
      </c>
      <c r="C43" s="230"/>
      <c r="D43" s="231">
        <f>SUM(D19:D42)</f>
        <v>500001.94000000006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17" header="0.17" footer="0.17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4">
    <tabColor rgb="FFFFFFCC"/>
  </sheetPr>
  <dimension ref="B1:F60"/>
  <sheetViews>
    <sheetView topLeftCell="A35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348</v>
      </c>
      <c r="C3" s="264"/>
      <c r="D3" s="264"/>
    </row>
    <row r="4" spans="2:6" ht="15.75" thickBot="1">
      <c r="B4" s="57" t="s">
        <v>222</v>
      </c>
      <c r="C4" s="226">
        <f>'Свод 2020'!H15</f>
        <v>2694.9</v>
      </c>
      <c r="D4" s="217">
        <f>'Свод 2020'!J15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2020'!H15</f>
        <v>2694.9</v>
      </c>
      <c r="F5" s="22">
        <f>'Свод 2020'!J15</f>
        <v>20.88</v>
      </c>
    </row>
    <row r="6" spans="2:6" ht="30">
      <c r="B6" s="178" t="s">
        <v>321</v>
      </c>
      <c r="C6" s="272">
        <f>'Свод 2020'!K15</f>
        <v>127002.01999999987</v>
      </c>
      <c r="D6" s="273"/>
    </row>
    <row r="7" spans="2:6" ht="15">
      <c r="B7" s="40" t="s">
        <v>322</v>
      </c>
      <c r="C7" s="261">
        <f>'Свод 2020'!L15</f>
        <v>675233.88</v>
      </c>
      <c r="D7" s="262"/>
    </row>
    <row r="8" spans="2:6" ht="15">
      <c r="B8" s="40" t="s">
        <v>323</v>
      </c>
      <c r="C8" s="261">
        <f>'Свод 2020'!M15</f>
        <v>656008.59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146227.30999999994</v>
      </c>
      <c r="D10" s="275"/>
      <c r="E10" s="22">
        <f>'Свод 2020'!O15</f>
        <v>146227.30999999994</v>
      </c>
      <c r="F10" s="125"/>
    </row>
    <row r="11" spans="2:6" ht="30">
      <c r="B11" s="178" t="s">
        <v>333</v>
      </c>
      <c r="C11" s="261">
        <f>'Свод 2020'!Q15</f>
        <v>2520.5399999999936</v>
      </c>
      <c r="D11" s="262"/>
    </row>
    <row r="12" spans="2:6" ht="15">
      <c r="B12" s="40" t="s">
        <v>324</v>
      </c>
      <c r="C12" s="261">
        <f>'Свод 2020'!R15</f>
        <v>37572.85</v>
      </c>
      <c r="D12" s="262"/>
    </row>
    <row r="13" spans="2:6" ht="15">
      <c r="B13" s="40" t="s">
        <v>325</v>
      </c>
      <c r="C13" s="261">
        <f>'Свод 2020'!S15</f>
        <v>32446.3</v>
      </c>
      <c r="D13" s="262"/>
    </row>
    <row r="14" spans="2:6" ht="28.5">
      <c r="B14" s="41" t="s">
        <v>151</v>
      </c>
      <c r="C14" s="274">
        <f>C11+C12-C13</f>
        <v>7647.0899999999929</v>
      </c>
      <c r="D14" s="275"/>
      <c r="E14" s="22">
        <f>'Свод 2020'!T15</f>
        <v>7647.0899999999929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2020'!W15</f>
        <v>197590.07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2020'!U15</f>
        <v>2263.7199999999998</v>
      </c>
    </row>
    <row r="22" spans="2:5" ht="15">
      <c r="B22" s="46" t="s">
        <v>134</v>
      </c>
      <c r="C22" s="47" t="s">
        <v>60</v>
      </c>
      <c r="D22" s="48">
        <f>'Свод 2020'!V15</f>
        <v>128670.37999999999</v>
      </c>
    </row>
    <row r="23" spans="2:5" ht="30">
      <c r="B23" s="46" t="s">
        <v>161</v>
      </c>
      <c r="C23" s="94" t="s">
        <v>138</v>
      </c>
      <c r="D23" s="48">
        <f>'Свод 2020'!AA15+'Свод 2020'!Z15</f>
        <v>30721.87</v>
      </c>
    </row>
    <row r="24" spans="2:5" ht="28.5" customHeight="1">
      <c r="B24" s="124" t="s">
        <v>141</v>
      </c>
      <c r="C24" s="49" t="s">
        <v>140</v>
      </c>
      <c r="D24" s="209">
        <f>'Свод 2020'!AC15</f>
        <v>2604.23</v>
      </c>
    </row>
    <row r="25" spans="2:5" ht="28.5" customHeight="1">
      <c r="B25" s="154" t="s">
        <v>142</v>
      </c>
      <c r="C25" s="98" t="s">
        <v>143</v>
      </c>
      <c r="D25" s="215">
        <f>'Свод 2020'!AB15</f>
        <v>1293.55</v>
      </c>
    </row>
    <row r="26" spans="2:5" ht="21.75" customHeight="1">
      <c r="B26" s="202" t="s">
        <v>153</v>
      </c>
      <c r="C26" s="47" t="s">
        <v>59</v>
      </c>
      <c r="D26" s="203">
        <f>'Свод 2020'!AD15</f>
        <v>28458.14</v>
      </c>
    </row>
    <row r="27" spans="2:5" ht="30.75" customHeight="1">
      <c r="B27" s="105" t="s">
        <v>144</v>
      </c>
      <c r="C27" s="164" t="s">
        <v>135</v>
      </c>
      <c r="D27" s="283">
        <f>'Свод 2020'!AE15</f>
        <v>104777.71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2020'!AG15</f>
        <v>46567.87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2020'!AI15</f>
        <v>100573.67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2020'!AK15</f>
        <v>30721.86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2020'!AL15</f>
        <v>27164.59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2020'!AM15</f>
        <v>47214.65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2020'!AJ15</f>
        <v>52712.24</v>
      </c>
      <c r="E42" s="22">
        <f>D43-C8-C13</f>
        <v>112879.66000000008</v>
      </c>
    </row>
    <row r="43" spans="2:5" ht="15" thickBot="1">
      <c r="B43" s="229" t="s">
        <v>253</v>
      </c>
      <c r="C43" s="230"/>
      <c r="D43" s="231">
        <f>SUM(D19:D42)</f>
        <v>801334.55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28000000000000003" header="0.17" footer="0.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9">
    <tabColor rgb="FFFFFFCC"/>
  </sheetPr>
  <dimension ref="B1:F60"/>
  <sheetViews>
    <sheetView topLeftCell="A23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349</v>
      </c>
      <c r="C3" s="264"/>
      <c r="D3" s="264"/>
    </row>
    <row r="4" spans="2:6" ht="15.75" thickBot="1">
      <c r="B4" s="57" t="s">
        <v>223</v>
      </c>
      <c r="C4" s="226">
        <f>'Свод 2020'!H16</f>
        <v>4327.2</v>
      </c>
      <c r="D4" s="216">
        <f>'Свод 2020'!J16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2020'!H16</f>
        <v>4327.2</v>
      </c>
      <c r="F5" s="22">
        <f>'Свод 2020'!J15</f>
        <v>20.88</v>
      </c>
    </row>
    <row r="6" spans="2:6" ht="30">
      <c r="B6" s="178" t="s">
        <v>321</v>
      </c>
      <c r="C6" s="272">
        <f>'Свод 2020'!K16</f>
        <v>141657.60000000012</v>
      </c>
      <c r="D6" s="273"/>
    </row>
    <row r="7" spans="2:6" ht="15">
      <c r="B7" s="40" t="s">
        <v>322</v>
      </c>
      <c r="C7" s="261">
        <f>'Свод 2020'!L16</f>
        <v>1084148.6399999999</v>
      </c>
      <c r="D7" s="262"/>
    </row>
    <row r="8" spans="2:6" ht="15">
      <c r="B8" s="40" t="s">
        <v>323</v>
      </c>
      <c r="C8" s="261">
        <f>'Свод 2020'!M16</f>
        <v>1060616.1499999999</v>
      </c>
      <c r="D8" s="262"/>
    </row>
    <row r="9" spans="2:6" ht="15">
      <c r="B9" s="40" t="s">
        <v>127</v>
      </c>
      <c r="C9" s="261">
        <f>'Свод 2020'!N16</f>
        <v>0</v>
      </c>
      <c r="D9" s="262"/>
    </row>
    <row r="10" spans="2:6" ht="28.5">
      <c r="B10" s="41" t="s">
        <v>147</v>
      </c>
      <c r="C10" s="274">
        <f>C6+C7-C8+C9</f>
        <v>165190.09000000008</v>
      </c>
      <c r="D10" s="275"/>
      <c r="E10" s="22">
        <f>'Свод 2020'!O16</f>
        <v>165190.09000000008</v>
      </c>
      <c r="F10" s="125"/>
    </row>
    <row r="11" spans="2:6" ht="30">
      <c r="B11" s="178" t="s">
        <v>333</v>
      </c>
      <c r="C11" s="261">
        <f>'Свод 2020'!Q16</f>
        <v>19975.040000000008</v>
      </c>
      <c r="D11" s="262"/>
    </row>
    <row r="12" spans="2:6" ht="15">
      <c r="B12" s="40" t="s">
        <v>324</v>
      </c>
      <c r="C12" s="261">
        <f>'Свод 2020'!R16</f>
        <v>64918.879999999997</v>
      </c>
      <c r="D12" s="262"/>
    </row>
    <row r="13" spans="2:6" ht="15">
      <c r="B13" s="40" t="s">
        <v>325</v>
      </c>
      <c r="C13" s="261">
        <f>'Свод 2020'!S16</f>
        <v>58520.34</v>
      </c>
      <c r="D13" s="262"/>
    </row>
    <row r="14" spans="2:6" ht="28.5">
      <c r="B14" s="41" t="s">
        <v>151</v>
      </c>
      <c r="C14" s="274">
        <f>C11+C12-C13</f>
        <v>26373.580000000016</v>
      </c>
      <c r="D14" s="275"/>
      <c r="E14" s="22">
        <f>'Свод 2020'!T16</f>
        <v>26373.580000000016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2020'!W16</f>
        <v>317270.3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2020'!U16</f>
        <v>3634.85</v>
      </c>
    </row>
    <row r="22" spans="2:5" ht="15">
      <c r="B22" s="46" t="s">
        <v>134</v>
      </c>
      <c r="C22" s="47" t="s">
        <v>60</v>
      </c>
      <c r="D22" s="48">
        <f>'Свод 2020'!V16</f>
        <v>54857.74</v>
      </c>
    </row>
    <row r="23" spans="2:5" ht="30">
      <c r="B23" s="46" t="s">
        <v>161</v>
      </c>
      <c r="C23" s="94" t="s">
        <v>138</v>
      </c>
      <c r="D23" s="48">
        <f>'Свод 2020'!AA16+'Свод 2020'!Z16</f>
        <v>49330.080000000002</v>
      </c>
    </row>
    <row r="24" spans="2:5" ht="28.5" customHeight="1">
      <c r="B24" s="124" t="s">
        <v>141</v>
      </c>
      <c r="C24" s="49" t="s">
        <v>140</v>
      </c>
      <c r="D24" s="209">
        <f>'Свод 2020'!AC16</f>
        <v>3263.5699999999997</v>
      </c>
    </row>
    <row r="25" spans="2:5" ht="28.5" customHeight="1">
      <c r="B25" s="154" t="s">
        <v>142</v>
      </c>
      <c r="C25" s="98" t="s">
        <v>143</v>
      </c>
      <c r="D25" s="215">
        <f>'Свод 2020'!AB16</f>
        <v>2077.06</v>
      </c>
    </row>
    <row r="26" spans="2:5" ht="21.75" customHeight="1">
      <c r="B26" s="202" t="s">
        <v>153</v>
      </c>
      <c r="C26" s="47" t="s">
        <v>59</v>
      </c>
      <c r="D26" s="203">
        <f>'Свод 2020'!AD16</f>
        <v>45695.23</v>
      </c>
    </row>
    <row r="27" spans="2:5" ht="30.75" customHeight="1">
      <c r="B27" s="105" t="s">
        <v>144</v>
      </c>
      <c r="C27" s="164" t="s">
        <v>135</v>
      </c>
      <c r="D27" s="283">
        <f>'Свод 2020'!AE16</f>
        <v>168241.54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2020'!AG16</f>
        <v>74774.02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2020'!AI16</f>
        <v>161491.1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2020'!AK16</f>
        <v>49330.080000000002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2020'!AL16</f>
        <v>43618.18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2020'!AM16</f>
        <v>75812.539999999994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2020'!AJ16</f>
        <v>84640.03</v>
      </c>
      <c r="E42" s="22">
        <f>D43-C8-C9-C13</f>
        <v>14899.830000000162</v>
      </c>
    </row>
    <row r="43" spans="2:5" ht="15" thickBot="1">
      <c r="B43" s="229" t="s">
        <v>253</v>
      </c>
      <c r="C43" s="230"/>
      <c r="D43" s="231">
        <f>SUM(D19:D42)</f>
        <v>1134036.32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honeticPr fontId="0" type="noConversion"/>
  <pageMargins left="0.15748031496062992" right="0.15748031496062992" top="0.78740157480314965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rgb="FFFFCCFF"/>
  </sheetPr>
  <dimension ref="B1:F60"/>
  <sheetViews>
    <sheetView workbookViewId="0">
      <selection activeCell="F17" sqref="F17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350</v>
      </c>
      <c r="C3" s="264"/>
      <c r="D3" s="264"/>
    </row>
    <row r="4" spans="2:6" ht="15.75" thickBot="1">
      <c r="B4" s="57" t="s">
        <v>224</v>
      </c>
      <c r="C4" s="226">
        <f>'Свод 2020'!H17</f>
        <v>4410.6000000000004</v>
      </c>
      <c r="D4" s="217">
        <f>'Свод 2020'!J17</f>
        <v>19.28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2020'!H17</f>
        <v>4410.6000000000004</v>
      </c>
      <c r="F5" s="22">
        <f>'Свод 2020'!J17</f>
        <v>19.28</v>
      </c>
    </row>
    <row r="6" spans="2:6" ht="30">
      <c r="B6" s="178" t="s">
        <v>321</v>
      </c>
      <c r="C6" s="272">
        <f>'Свод 2020'!K17</f>
        <v>173825.13000000012</v>
      </c>
      <c r="D6" s="273"/>
    </row>
    <row r="7" spans="2:6" ht="15">
      <c r="B7" s="40" t="s">
        <v>322</v>
      </c>
      <c r="C7" s="261">
        <f>'Свод 2020'!L17</f>
        <v>1020436.68</v>
      </c>
      <c r="D7" s="262"/>
    </row>
    <row r="8" spans="2:6" ht="15">
      <c r="B8" s="40" t="s">
        <v>323</v>
      </c>
      <c r="C8" s="261">
        <f>'Свод 2020'!M17</f>
        <v>1018691.85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175569.96000000008</v>
      </c>
      <c r="D10" s="275"/>
      <c r="E10" s="22">
        <f>'Свод 2020'!O17</f>
        <v>175569.96000000008</v>
      </c>
      <c r="F10" s="125"/>
    </row>
    <row r="11" spans="2:6" ht="30">
      <c r="B11" s="178" t="s">
        <v>333</v>
      </c>
      <c r="C11" s="261">
        <f>'Свод 2020'!Q17</f>
        <v>6300.5599999999977</v>
      </c>
      <c r="D11" s="262"/>
    </row>
    <row r="12" spans="2:6" ht="15">
      <c r="B12" s="40" t="s">
        <v>324</v>
      </c>
      <c r="C12" s="261">
        <f>'Свод 2020'!R17</f>
        <v>30349.32</v>
      </c>
      <c r="D12" s="262"/>
    </row>
    <row r="13" spans="2:6" ht="15">
      <c r="B13" s="40" t="s">
        <v>325</v>
      </c>
      <c r="C13" s="261">
        <f>'Свод 2020'!S17</f>
        <v>23484.17</v>
      </c>
      <c r="D13" s="262"/>
    </row>
    <row r="14" spans="2:6" ht="28.5">
      <c r="B14" s="41" t="s">
        <v>151</v>
      </c>
      <c r="C14" s="274">
        <f>C11+C12-C13</f>
        <v>13165.71</v>
      </c>
      <c r="D14" s="275"/>
      <c r="E14" s="22">
        <f>'Свод 2020'!T17</f>
        <v>13165.71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351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2020'!W17</f>
        <v>305919.21999999997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2020'!U17</f>
        <v>3704.9</v>
      </c>
    </row>
    <row r="22" spans="2:5" ht="15">
      <c r="B22" s="46" t="s">
        <v>134</v>
      </c>
      <c r="C22" s="47" t="s">
        <v>60</v>
      </c>
      <c r="D22" s="48">
        <f>'Свод 2020'!V17</f>
        <v>42917.86</v>
      </c>
    </row>
    <row r="23" spans="2:5" ht="30">
      <c r="B23" s="46" t="s">
        <v>161</v>
      </c>
      <c r="C23" s="94" t="s">
        <v>138</v>
      </c>
      <c r="D23" s="48">
        <f>'Свод 2020'!AA17+'Свод 2020'!Z17</f>
        <v>50280.829999999994</v>
      </c>
    </row>
    <row r="24" spans="2:5" ht="28.5" customHeight="1">
      <c r="B24" s="124" t="s">
        <v>141</v>
      </c>
      <c r="C24" s="49" t="s">
        <v>140</v>
      </c>
      <c r="D24" s="209">
        <f>'Свод 2020'!AC17</f>
        <v>2259.6099999999997</v>
      </c>
    </row>
    <row r="25" spans="2:5" ht="28.5" customHeight="1">
      <c r="B25" s="154" t="s">
        <v>142</v>
      </c>
      <c r="C25" s="98" t="s">
        <v>143</v>
      </c>
      <c r="D25" s="215">
        <f>'Свод 2020'!AB17</f>
        <v>2117.09</v>
      </c>
    </row>
    <row r="26" spans="2:5" ht="21.75" customHeight="1">
      <c r="B26" s="202" t="s">
        <v>153</v>
      </c>
      <c r="C26" s="47" t="s">
        <v>59</v>
      </c>
      <c r="D26" s="203">
        <f>'Свод 2020'!AD17</f>
        <v>46575.94</v>
      </c>
    </row>
    <row r="27" spans="2:5" ht="30.75" customHeight="1">
      <c r="B27" s="105" t="s">
        <v>144</v>
      </c>
      <c r="C27" s="164" t="s">
        <v>135</v>
      </c>
      <c r="D27" s="283">
        <f>'Свод 2020'!AE17</f>
        <v>109030.03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2020'!AG17</f>
        <v>76215.17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2020'!AI17</f>
        <v>165703.59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2020'!AK17</f>
        <v>45517.39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2020'!AL17</f>
        <v>44458.85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2020'!AM17</f>
        <v>77273.710000000006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2020'!AJ17</f>
        <v>86271.34</v>
      </c>
      <c r="E42" s="22">
        <f>D43-C8-C13</f>
        <v>16069.510000000053</v>
      </c>
    </row>
    <row r="43" spans="2:5" ht="15" thickBot="1">
      <c r="B43" s="229" t="s">
        <v>253</v>
      </c>
      <c r="C43" s="230"/>
      <c r="D43" s="231">
        <f>SUM(D19:D42)</f>
        <v>1058245.53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honeticPr fontId="0" type="noConversion"/>
  <pageMargins left="0.24" right="0.24" top="0.21" bottom="0.27" header="0.17" footer="0.17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topLeftCell="A23" workbookViewId="0">
      <selection activeCell="E19" sqref="E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352</v>
      </c>
      <c r="C3" s="264"/>
      <c r="D3" s="264"/>
    </row>
    <row r="4" spans="2:6" ht="15.75" thickBot="1">
      <c r="B4" s="57" t="s">
        <v>225</v>
      </c>
      <c r="C4" s="226">
        <f>'Свод 2020'!H18</f>
        <v>7314.6</v>
      </c>
      <c r="D4" s="217">
        <f>'Свод 2020'!J18</f>
        <v>27.27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2020'!H18</f>
        <v>7314.6</v>
      </c>
      <c r="F5" s="22">
        <f>'Свод 2020'!J18</f>
        <v>27.27</v>
      </c>
    </row>
    <row r="6" spans="2:6" ht="30">
      <c r="B6" s="178" t="s">
        <v>321</v>
      </c>
      <c r="C6" s="272">
        <f>'Свод 2020'!K18</f>
        <v>639652.49</v>
      </c>
      <c r="D6" s="273"/>
    </row>
    <row r="7" spans="2:6" ht="15">
      <c r="B7" s="40" t="s">
        <v>322</v>
      </c>
      <c r="C7" s="261">
        <f>'Свод 2020'!L18</f>
        <v>1336084.74</v>
      </c>
      <c r="D7" s="262"/>
    </row>
    <row r="8" spans="2:6" ht="15">
      <c r="B8" s="40" t="s">
        <v>323</v>
      </c>
      <c r="C8" s="261">
        <f>'Свод 2020'!M18</f>
        <v>1470526.86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505210.36999999988</v>
      </c>
      <c r="D10" s="275"/>
      <c r="E10" s="22">
        <f>'Свод 2020'!O18</f>
        <v>505431.25999999989</v>
      </c>
      <c r="F10" s="125"/>
    </row>
    <row r="11" spans="2:6" ht="30">
      <c r="B11" s="178" t="s">
        <v>333</v>
      </c>
      <c r="C11" s="261">
        <f>'Свод 2020'!Q18</f>
        <v>292185.19999999995</v>
      </c>
      <c r="D11" s="262"/>
    </row>
    <row r="12" spans="2:6" ht="15">
      <c r="B12" s="40" t="s">
        <v>324</v>
      </c>
      <c r="C12" s="261">
        <f>'Свод 2020'!R18</f>
        <v>618493.11</v>
      </c>
      <c r="D12" s="262"/>
    </row>
    <row r="13" spans="2:6" ht="15">
      <c r="B13" s="40" t="s">
        <v>325</v>
      </c>
      <c r="C13" s="261">
        <f>'Свод 2020'!S18</f>
        <v>446292.98</v>
      </c>
      <c r="D13" s="262"/>
    </row>
    <row r="14" spans="2:6" ht="28.5">
      <c r="B14" s="41" t="s">
        <v>151</v>
      </c>
      <c r="C14" s="274">
        <f>C11+C12-C13</f>
        <v>464385.32999999996</v>
      </c>
      <c r="D14" s="275"/>
      <c r="E14" s="22">
        <f>'Свод 2020'!T18</f>
        <v>464385.32999999996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2020'!W18</f>
        <v>446922.06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2020'!U18</f>
        <v>5120.22</v>
      </c>
    </row>
    <row r="22" spans="2:5" ht="15">
      <c r="B22" s="46" t="s">
        <v>134</v>
      </c>
      <c r="C22" s="47" t="s">
        <v>60</v>
      </c>
      <c r="D22" s="48">
        <f>'Свод 2020'!V18</f>
        <v>9508.98</v>
      </c>
    </row>
    <row r="23" spans="2:5" ht="30">
      <c r="B23" s="46" t="s">
        <v>161</v>
      </c>
      <c r="C23" s="94" t="s">
        <v>138</v>
      </c>
      <c r="D23" s="48">
        <f>'Свод 2020'!AA18+'Свод 2020'!Z18</f>
        <v>69488.700000000012</v>
      </c>
    </row>
    <row r="24" spans="2:5" ht="28.5" customHeight="1">
      <c r="B24" s="124" t="s">
        <v>141</v>
      </c>
      <c r="C24" s="49" t="s">
        <v>140</v>
      </c>
      <c r="D24" s="209">
        <f>'Свод 2020'!AC18</f>
        <v>2194.38</v>
      </c>
    </row>
    <row r="25" spans="2:5" ht="28.5" customHeight="1">
      <c r="B25" s="154" t="s">
        <v>142</v>
      </c>
      <c r="C25" s="98" t="s">
        <v>143</v>
      </c>
      <c r="D25" s="215">
        <f>'Свод 2020'!AB18</f>
        <v>2925.84</v>
      </c>
    </row>
    <row r="26" spans="2:5" ht="21.75" customHeight="1">
      <c r="B26" s="202" t="s">
        <v>153</v>
      </c>
      <c r="C26" s="47" t="s">
        <v>59</v>
      </c>
      <c r="D26" s="203">
        <f>'Свод 2020'!AD18</f>
        <v>64368.480000000003</v>
      </c>
    </row>
    <row r="27" spans="2:5" ht="30.75" customHeight="1">
      <c r="B27" s="105" t="s">
        <v>144</v>
      </c>
      <c r="C27" s="164" t="s">
        <v>135</v>
      </c>
      <c r="D27" s="283">
        <f>'Свод 2020'!AE18</f>
        <v>335740.14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2020'!AG18</f>
        <v>105330.24000000001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2020'!AI18</f>
        <v>154338.06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2020'!AK18</f>
        <v>193105.44</v>
      </c>
    </row>
    <row r="37" spans="2:5" ht="15">
      <c r="B37" s="155" t="s">
        <v>130</v>
      </c>
      <c r="C37" s="161"/>
      <c r="D37" s="162"/>
    </row>
    <row r="38" spans="2:5" ht="60.75" thickBot="1">
      <c r="B38" s="158" t="s">
        <v>226</v>
      </c>
      <c r="C38" s="159" t="s">
        <v>139</v>
      </c>
      <c r="D38" s="163">
        <f>'Свод 2020'!AL18</f>
        <v>379627.74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2020'!AM18</f>
        <v>106793.16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2020'!AJ18</f>
        <v>119227.98</v>
      </c>
      <c r="E42" s="22">
        <f>D43-C8-C13</f>
        <v>77871.579999999609</v>
      </c>
    </row>
    <row r="43" spans="2:5" ht="15" thickBot="1">
      <c r="B43" s="229" t="s">
        <v>253</v>
      </c>
      <c r="C43" s="230"/>
      <c r="D43" s="231">
        <f>SUM(D19:D42)</f>
        <v>1994691.4199999997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ageMargins left="0.17" right="0.23" top="0.31" bottom="0.17" header="0.19" footer="0.1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 enableFormatConditionsCalculation="0">
    <tabColor rgb="FFFFCCFF"/>
  </sheetPr>
  <dimension ref="B1:F60"/>
  <sheetViews>
    <sheetView topLeftCell="A38" workbookViewId="0">
      <selection activeCell="C21" sqref="C21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353</v>
      </c>
      <c r="C3" s="264"/>
      <c r="D3" s="264"/>
    </row>
    <row r="4" spans="2:6" ht="15.75" thickBot="1">
      <c r="B4" s="57" t="s">
        <v>228</v>
      </c>
      <c r="C4" s="226">
        <f>'Свод 2020'!H19</f>
        <v>4341.5</v>
      </c>
      <c r="D4" s="217">
        <f>'Свод 2020'!J19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2020'!H19</f>
        <v>4341.5</v>
      </c>
      <c r="F5" s="22">
        <f>'Свод 2020'!J19</f>
        <v>20.88</v>
      </c>
    </row>
    <row r="6" spans="2:6" ht="30">
      <c r="B6" s="178" t="s">
        <v>321</v>
      </c>
      <c r="C6" s="272">
        <f>'Свод 2020'!K19</f>
        <v>106425.46999999997</v>
      </c>
      <c r="D6" s="273"/>
    </row>
    <row r="7" spans="2:6" ht="15">
      <c r="B7" s="40" t="s">
        <v>322</v>
      </c>
      <c r="C7" s="261">
        <f>'Свод 2020'!L19</f>
        <v>1087805.8799999999</v>
      </c>
      <c r="D7" s="262"/>
    </row>
    <row r="8" spans="2:6" ht="15">
      <c r="B8" s="40" t="s">
        <v>323</v>
      </c>
      <c r="C8" s="261">
        <f>'Свод 2020'!M19</f>
        <v>1044951.16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149280.18999999983</v>
      </c>
      <c r="D10" s="275"/>
      <c r="E10" s="22">
        <f>'Свод 2020'!O19</f>
        <v>149280.18999999983</v>
      </c>
      <c r="F10" s="125"/>
    </row>
    <row r="11" spans="2:6" ht="30">
      <c r="B11" s="178" t="s">
        <v>333</v>
      </c>
      <c r="C11" s="261">
        <f>'Свод 2020'!Q19</f>
        <v>1713.8600000000006</v>
      </c>
      <c r="D11" s="262"/>
    </row>
    <row r="12" spans="2:6" ht="15">
      <c r="B12" s="40" t="s">
        <v>324</v>
      </c>
      <c r="C12" s="261">
        <f>'Свод 2020'!R19</f>
        <v>6855.43</v>
      </c>
      <c r="D12" s="262"/>
    </row>
    <row r="13" spans="2:6" ht="15">
      <c r="B13" s="40" t="s">
        <v>325</v>
      </c>
      <c r="C13" s="261">
        <f>'Свод 2020'!S19</f>
        <v>712.86</v>
      </c>
      <c r="D13" s="262"/>
    </row>
    <row r="14" spans="2:6" ht="28.5">
      <c r="B14" s="41" t="s">
        <v>151</v>
      </c>
      <c r="C14" s="274">
        <f>C11+C12-C13</f>
        <v>7856.4300000000012</v>
      </c>
      <c r="D14" s="275"/>
      <c r="E14" s="22">
        <f>'Свод 2020'!T19</f>
        <v>7856.4300000000012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2020'!W19</f>
        <v>318318.78000000003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2020'!U19</f>
        <v>3646.86</v>
      </c>
    </row>
    <row r="22" spans="2:5" ht="15">
      <c r="B22" s="46" t="s">
        <v>134</v>
      </c>
      <c r="C22" s="47" t="s">
        <v>60</v>
      </c>
      <c r="D22" s="48">
        <f>'Свод 2020'!V19</f>
        <v>60168.659999999996</v>
      </c>
    </row>
    <row r="23" spans="2:5" ht="30">
      <c r="B23" s="46" t="s">
        <v>161</v>
      </c>
      <c r="C23" s="94" t="s">
        <v>138</v>
      </c>
      <c r="D23" s="48">
        <f>'Свод 2020'!AA19+'Свод 2020'!Z19</f>
        <v>49493.100000000006</v>
      </c>
    </row>
    <row r="24" spans="2:5" ht="28.5" customHeight="1">
      <c r="B24" s="124" t="s">
        <v>141</v>
      </c>
      <c r="C24" s="49" t="s">
        <v>140</v>
      </c>
      <c r="D24" s="209">
        <f>'Свод 2020'!AC19</f>
        <v>3559.26</v>
      </c>
    </row>
    <row r="25" spans="2:5" ht="28.5" customHeight="1">
      <c r="B25" s="220" t="s">
        <v>142</v>
      </c>
      <c r="C25" s="49" t="s">
        <v>143</v>
      </c>
      <c r="D25" s="209">
        <f>'Свод 2020'!AB19</f>
        <v>2083.92</v>
      </c>
    </row>
    <row r="26" spans="2:5" ht="21.75" customHeight="1" thickBot="1">
      <c r="B26" s="172" t="s">
        <v>153</v>
      </c>
      <c r="C26" s="173" t="s">
        <v>59</v>
      </c>
      <c r="D26" s="174">
        <f>'Свод 2020'!AD19</f>
        <v>45846.239999999998</v>
      </c>
    </row>
    <row r="27" spans="2:5" ht="30.75" customHeight="1">
      <c r="B27" s="95" t="s">
        <v>144</v>
      </c>
      <c r="C27" s="150" t="s">
        <v>135</v>
      </c>
      <c r="D27" s="286">
        <f>'Свод 2020'!AE19</f>
        <v>168797.52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2020'!AG19</f>
        <v>75021.119999999995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2020'!AI19</f>
        <v>165324.78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2020'!AK19</f>
        <v>49493.1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2020'!AL19</f>
        <v>43762.32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2020'!AM19</f>
        <v>76063.08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2020'!AJ19</f>
        <v>84919.74</v>
      </c>
      <c r="E42" s="22">
        <f>D43-C8-C13</f>
        <v>100834.45999999995</v>
      </c>
    </row>
    <row r="43" spans="2:5" ht="15" thickBot="1">
      <c r="B43" s="229" t="s">
        <v>253</v>
      </c>
      <c r="C43" s="230"/>
      <c r="D43" s="231">
        <f>SUM(D19:D42)</f>
        <v>1146498.48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17" bottom="0.27" header="0.17" footer="0.17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FFCCFF"/>
  </sheetPr>
  <dimension ref="B1:F60"/>
  <sheetViews>
    <sheetView topLeftCell="A35" workbookViewId="0"/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354</v>
      </c>
      <c r="C3" s="264"/>
      <c r="D3" s="264"/>
    </row>
    <row r="4" spans="2:6" ht="15.75" thickBot="1">
      <c r="B4" s="57" t="s">
        <v>230</v>
      </c>
      <c r="C4" s="226">
        <f>'Свод 2020'!H20</f>
        <v>2698.6</v>
      </c>
      <c r="D4" s="217">
        <f>'Свод 2020'!J20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2020'!H20</f>
        <v>2698.6</v>
      </c>
      <c r="F5" s="22">
        <f>'Свод 2020'!J19</f>
        <v>20.88</v>
      </c>
    </row>
    <row r="6" spans="2:6" ht="30">
      <c r="B6" s="178" t="s">
        <v>321</v>
      </c>
      <c r="C6" s="272">
        <f>'Свод 2020'!K20</f>
        <v>263607.43000000005</v>
      </c>
      <c r="D6" s="273"/>
    </row>
    <row r="7" spans="2:6" ht="15">
      <c r="B7" s="40" t="s">
        <v>322</v>
      </c>
      <c r="C7" s="261">
        <f>'Свод 2020'!L20</f>
        <v>660814.43999999994</v>
      </c>
      <c r="D7" s="262"/>
    </row>
    <row r="8" spans="2:6" ht="15">
      <c r="B8" s="40" t="s">
        <v>323</v>
      </c>
      <c r="C8" s="261">
        <f>'Свод 2020'!M20</f>
        <v>622223.15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302198.71999999997</v>
      </c>
      <c r="D10" s="275"/>
      <c r="E10" s="22">
        <f>'Свод 2020'!O20</f>
        <v>302198.71999999997</v>
      </c>
      <c r="F10" s="125"/>
    </row>
    <row r="11" spans="2:6" ht="30">
      <c r="B11" s="178" t="s">
        <v>333</v>
      </c>
      <c r="C11" s="261">
        <f>'Свод 2020'!Q20</f>
        <v>-193.52999999999884</v>
      </c>
      <c r="D11" s="262"/>
    </row>
    <row r="12" spans="2:6" ht="15">
      <c r="B12" s="40" t="s">
        <v>324</v>
      </c>
      <c r="C12" s="261">
        <f>'Свод 2020'!R20</f>
        <v>37404.980000000003</v>
      </c>
      <c r="D12" s="262"/>
    </row>
    <row r="13" spans="2:6" ht="15">
      <c r="B13" s="40" t="s">
        <v>325</v>
      </c>
      <c r="C13" s="261">
        <f>'Свод 2020'!S20</f>
        <v>29837.14</v>
      </c>
      <c r="D13" s="262"/>
    </row>
    <row r="14" spans="2:6" ht="28.5">
      <c r="B14" s="41" t="s">
        <v>151</v>
      </c>
      <c r="C14" s="274">
        <f>C11+C12-C13</f>
        <v>7374.3100000000049</v>
      </c>
      <c r="D14" s="275"/>
      <c r="E14" s="22">
        <f>'Свод 2020'!T20</f>
        <v>7374.3100000000049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2020'!W20</f>
        <v>197861.35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2020'!U20</f>
        <v>2266.8200000000002</v>
      </c>
    </row>
    <row r="22" spans="2:5" ht="15">
      <c r="B22" s="46" t="s">
        <v>134</v>
      </c>
      <c r="C22" s="47" t="s">
        <v>60</v>
      </c>
      <c r="D22" s="48">
        <f>'Свод 2020'!V20</f>
        <v>51618.64</v>
      </c>
    </row>
    <row r="23" spans="2:5" ht="30">
      <c r="B23" s="46" t="s">
        <v>161</v>
      </c>
      <c r="C23" s="94" t="s">
        <v>138</v>
      </c>
      <c r="D23" s="48">
        <f>'Свод 2020'!AA20+'Свод 2020'!Z20</f>
        <v>30764.030000000002</v>
      </c>
    </row>
    <row r="24" spans="2:5" ht="28.5" customHeight="1">
      <c r="B24" s="124" t="s">
        <v>141</v>
      </c>
      <c r="C24" s="49" t="s">
        <v>140</v>
      </c>
      <c r="D24" s="209">
        <f>'Свод 2020'!AC20</f>
        <v>2962.41</v>
      </c>
    </row>
    <row r="25" spans="2:5" ht="28.5" customHeight="1">
      <c r="B25" s="154" t="s">
        <v>142</v>
      </c>
      <c r="C25" s="98" t="s">
        <v>143</v>
      </c>
      <c r="D25" s="215">
        <f>'Свод 2020'!AB20</f>
        <v>1295.33</v>
      </c>
    </row>
    <row r="26" spans="2:5" ht="21.75" customHeight="1">
      <c r="B26" s="202" t="s">
        <v>153</v>
      </c>
      <c r="C26" s="47" t="s">
        <v>59</v>
      </c>
      <c r="D26" s="203">
        <f>'Свод 2020'!AD20</f>
        <v>28497.22</v>
      </c>
    </row>
    <row r="27" spans="2:5" ht="30.75" customHeight="1">
      <c r="B27" s="105" t="s">
        <v>144</v>
      </c>
      <c r="C27" s="164" t="s">
        <v>135</v>
      </c>
      <c r="D27" s="283">
        <f>'Свод 2020'!AE20</f>
        <v>104921.57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2020'!AG20</f>
        <v>46631.81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2020'!AI20</f>
        <v>102361.75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2020'!AK20</f>
        <v>30764.04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2020'!AL20</f>
        <v>27201.89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2020'!AM20</f>
        <v>47279.47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2020'!AJ20</f>
        <v>52784.62</v>
      </c>
      <c r="E42" s="22">
        <f>D43-C8-C13</f>
        <v>75150.660000000047</v>
      </c>
    </row>
    <row r="43" spans="2:5" ht="15" thickBot="1">
      <c r="B43" s="229" t="s">
        <v>253</v>
      </c>
      <c r="C43" s="230"/>
      <c r="D43" s="231">
        <f>SUM(D19:D42)</f>
        <v>727210.95000000007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23" bottom="0.33" header="0.21" footer="0.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FFCCFF"/>
  </sheetPr>
  <dimension ref="B1:F60"/>
  <sheetViews>
    <sheetView topLeftCell="A23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355</v>
      </c>
      <c r="C3" s="264"/>
      <c r="D3" s="264"/>
    </row>
    <row r="4" spans="2:6" ht="15.75" thickBot="1">
      <c r="B4" s="57" t="s">
        <v>231</v>
      </c>
      <c r="C4" s="226">
        <f>'Свод 2020'!H21</f>
        <v>4404.7</v>
      </c>
      <c r="D4" s="217">
        <f>'Свод 2020'!J21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2020'!H21</f>
        <v>4404.7</v>
      </c>
      <c r="F5" s="22">
        <f>'Свод 2020'!J21</f>
        <v>20.88</v>
      </c>
    </row>
    <row r="6" spans="2:6" ht="30">
      <c r="B6" s="178" t="s">
        <v>321</v>
      </c>
      <c r="C6" s="272">
        <f>'Свод 2020'!K21</f>
        <v>549641.65000000026</v>
      </c>
      <c r="D6" s="273"/>
    </row>
    <row r="7" spans="2:6" ht="15">
      <c r="B7" s="40" t="s">
        <v>322</v>
      </c>
      <c r="C7" s="261">
        <f>'Свод 2020'!L21</f>
        <v>1102740.1200000001</v>
      </c>
      <c r="D7" s="262"/>
    </row>
    <row r="8" spans="2:6" ht="15">
      <c r="B8" s="40" t="s">
        <v>323</v>
      </c>
      <c r="C8" s="261">
        <f>'Свод 2020'!M21</f>
        <v>1064297.8899999999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588083.88000000059</v>
      </c>
      <c r="D10" s="275"/>
      <c r="E10" s="22">
        <f>'Свод 2020'!O21</f>
        <v>588083.88000000059</v>
      </c>
      <c r="F10" s="125"/>
    </row>
    <row r="11" spans="2:6" ht="30">
      <c r="B11" s="178" t="s">
        <v>333</v>
      </c>
      <c r="C11" s="261">
        <f>'Свод 2020'!Q21</f>
        <v>3034.8300000000017</v>
      </c>
      <c r="D11" s="262"/>
    </row>
    <row r="12" spans="2:6" ht="15">
      <c r="B12" s="40" t="s">
        <v>324</v>
      </c>
      <c r="C12" s="261">
        <f>'Свод 2020'!R21</f>
        <v>12600.32</v>
      </c>
      <c r="D12" s="262"/>
    </row>
    <row r="13" spans="2:6" ht="15">
      <c r="B13" s="40" t="s">
        <v>325</v>
      </c>
      <c r="C13" s="261">
        <f>'Свод 2020'!S21</f>
        <v>5735.1699999999992</v>
      </c>
      <c r="D13" s="262"/>
    </row>
    <row r="14" spans="2:6" ht="28.5">
      <c r="B14" s="41" t="s">
        <v>151</v>
      </c>
      <c r="C14" s="274">
        <f>C11+C12-C13</f>
        <v>9899.9800000000032</v>
      </c>
      <c r="D14" s="275"/>
      <c r="E14" s="22">
        <f>'Свод 2020'!T21</f>
        <v>9899.9800000000032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2020'!W21</f>
        <v>322952.59999999998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2020'!U21</f>
        <v>3699.95</v>
      </c>
    </row>
    <row r="22" spans="2:5" ht="15">
      <c r="B22" s="46" t="s">
        <v>134</v>
      </c>
      <c r="C22" s="47" t="s">
        <v>60</v>
      </c>
      <c r="D22" s="48">
        <f>'Свод 2020'!V21</f>
        <v>39708.19</v>
      </c>
    </row>
    <row r="23" spans="2:5" ht="30">
      <c r="B23" s="46" t="s">
        <v>161</v>
      </c>
      <c r="C23" s="94" t="s">
        <v>138</v>
      </c>
      <c r="D23" s="48">
        <f>'Свод 2020'!AA21+'Свод 2020'!Z21</f>
        <v>50213.579999999994</v>
      </c>
    </row>
    <row r="24" spans="2:5" ht="28.5" customHeight="1">
      <c r="B24" s="124" t="s">
        <v>141</v>
      </c>
      <c r="C24" s="49" t="s">
        <v>140</v>
      </c>
      <c r="D24" s="209">
        <f>'Свод 2020'!AC21</f>
        <v>2386.11</v>
      </c>
    </row>
    <row r="25" spans="2:5" ht="28.5" customHeight="1">
      <c r="B25" s="154" t="s">
        <v>142</v>
      </c>
      <c r="C25" s="98" t="s">
        <v>143</v>
      </c>
      <c r="D25" s="215">
        <f>'Свод 2020'!AB21</f>
        <v>2114.2600000000002</v>
      </c>
    </row>
    <row r="26" spans="2:5" ht="21.75" customHeight="1">
      <c r="B26" s="202" t="s">
        <v>153</v>
      </c>
      <c r="C26" s="47" t="s">
        <v>59</v>
      </c>
      <c r="D26" s="203">
        <f>'Свод 2020'!AD21</f>
        <v>46513.63</v>
      </c>
    </row>
    <row r="27" spans="2:5" ht="30.75" customHeight="1">
      <c r="B27" s="105" t="s">
        <v>144</v>
      </c>
      <c r="C27" s="164" t="s">
        <v>135</v>
      </c>
      <c r="D27" s="283">
        <f>'Свод 2020'!AE21</f>
        <v>171254.74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2020'!AG21</f>
        <v>76113.22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2020'!AI21</f>
        <v>164383.4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2020'!AK21</f>
        <v>50213.58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2020'!AL21</f>
        <v>44399.38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2020'!AM21</f>
        <v>77170.34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2020'!AJ21</f>
        <v>86155.93</v>
      </c>
      <c r="E42" s="22">
        <f>D43-C8-C13</f>
        <v>67245.85000000002</v>
      </c>
    </row>
    <row r="43" spans="2:5" ht="15" thickBot="1">
      <c r="B43" s="229" t="s">
        <v>253</v>
      </c>
      <c r="C43" s="230"/>
      <c r="D43" s="231">
        <f>SUM(D19:D42)</f>
        <v>1137278.9099999999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honeticPr fontId="0" type="noConversion"/>
  <pageMargins left="0.24" right="0.24" top="0.2" bottom="0.18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2">
    <tabColor rgb="FFFFFFCC"/>
  </sheetPr>
  <dimension ref="B1:F60"/>
  <sheetViews>
    <sheetView workbookViewId="0"/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320</v>
      </c>
      <c r="C3" s="264"/>
      <c r="D3" s="264"/>
    </row>
    <row r="4" spans="2:6" ht="15.75" thickBot="1">
      <c r="B4" s="57" t="s">
        <v>211</v>
      </c>
      <c r="C4" s="226">
        <f>'Свод 2020'!H4</f>
        <v>2661.8</v>
      </c>
      <c r="D4" s="217">
        <f>'Свод 2020'!J4</f>
        <v>20.88</v>
      </c>
    </row>
    <row r="5" spans="2:6" ht="31.5" customHeight="1" thickBot="1">
      <c r="B5" s="36" t="s">
        <v>54</v>
      </c>
      <c r="C5" s="270" t="s">
        <v>150</v>
      </c>
      <c r="D5" s="271"/>
    </row>
    <row r="6" spans="2:6" ht="30">
      <c r="B6" s="178" t="s">
        <v>321</v>
      </c>
      <c r="C6" s="272">
        <f>'Свод 2020'!K4</f>
        <v>170573.80999999959</v>
      </c>
      <c r="D6" s="273"/>
    </row>
    <row r="7" spans="2:6" ht="15">
      <c r="B7" s="40" t="s">
        <v>322</v>
      </c>
      <c r="C7" s="261">
        <f>'Свод 2020'!L4</f>
        <v>660664.11</v>
      </c>
      <c r="D7" s="262"/>
    </row>
    <row r="8" spans="2:6" ht="15">
      <c r="B8" s="40" t="s">
        <v>323</v>
      </c>
      <c r="C8" s="261">
        <f>'Свод 2020'!M4</f>
        <v>643375.93999999994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C6+C7-C8+C9</f>
        <v>187861.97999999963</v>
      </c>
      <c r="D10" s="275"/>
    </row>
    <row r="11" spans="2:6" ht="30">
      <c r="B11" s="178" t="s">
        <v>333</v>
      </c>
      <c r="C11" s="261">
        <f>'Свод 2020'!Q4</f>
        <v>4472.6100000000042</v>
      </c>
      <c r="D11" s="262"/>
    </row>
    <row r="12" spans="2:6" ht="15">
      <c r="B12" s="40" t="s">
        <v>324</v>
      </c>
      <c r="C12" s="261">
        <f>'Свод 2020'!R4</f>
        <v>20835.38</v>
      </c>
      <c r="D12" s="262"/>
    </row>
    <row r="13" spans="2:6" ht="15">
      <c r="B13" s="40" t="s">
        <v>325</v>
      </c>
      <c r="C13" s="261">
        <f>'Свод 2020'!S4</f>
        <v>16313.08</v>
      </c>
      <c r="D13" s="262"/>
    </row>
    <row r="14" spans="2:6" ht="28.5">
      <c r="B14" s="41" t="s">
        <v>151</v>
      </c>
      <c r="C14" s="274">
        <f>C11+C12-C13</f>
        <v>8994.9100000000053</v>
      </c>
      <c r="D14" s="275"/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</f>
        <v>195163.18</v>
      </c>
    </row>
    <row r="20" spans="2:5" ht="15.75" thickBot="1">
      <c r="B20" s="158" t="s">
        <v>152</v>
      </c>
      <c r="C20" s="97" t="s">
        <v>143</v>
      </c>
      <c r="D20" s="284"/>
      <c r="E20" t="s">
        <v>167</v>
      </c>
    </row>
    <row r="21" spans="2:5" ht="30">
      <c r="B21" s="105" t="s">
        <v>160</v>
      </c>
      <c r="C21" s="106" t="s">
        <v>157</v>
      </c>
      <c r="D21" s="170">
        <f>'Свод 2020'!U4</f>
        <v>2235.91</v>
      </c>
    </row>
    <row r="22" spans="2:5" ht="15">
      <c r="B22" s="46" t="s">
        <v>134</v>
      </c>
      <c r="C22" s="47" t="s">
        <v>170</v>
      </c>
      <c r="D22" s="48">
        <f>'Свод 2020'!V4</f>
        <v>4152.41</v>
      </c>
    </row>
    <row r="23" spans="2:5" ht="30">
      <c r="B23" s="46" t="s">
        <v>161</v>
      </c>
      <c r="C23" s="94" t="s">
        <v>138</v>
      </c>
      <c r="D23" s="48">
        <f>'Свод 2020'!AA4+'Свод 2020'!Z4</f>
        <v>30344.519999999997</v>
      </c>
    </row>
    <row r="24" spans="2:5" ht="28.5" customHeight="1">
      <c r="B24" s="124" t="s">
        <v>141</v>
      </c>
      <c r="C24" s="49" t="s">
        <v>140</v>
      </c>
      <c r="D24" s="209">
        <f>'Свод 2020'!AC4</f>
        <v>1387.05</v>
      </c>
    </row>
    <row r="25" spans="2:5" ht="28.5" customHeight="1">
      <c r="B25" s="154" t="s">
        <v>142</v>
      </c>
      <c r="C25" s="98" t="s">
        <v>143</v>
      </c>
      <c r="D25" s="209">
        <f>'Свод 2020'!AB4</f>
        <v>1277.6600000000001</v>
      </c>
    </row>
    <row r="26" spans="2:5" ht="21.75" customHeight="1">
      <c r="B26" s="202" t="s">
        <v>153</v>
      </c>
      <c r="C26" s="47" t="s">
        <v>169</v>
      </c>
      <c r="D26" s="203">
        <f>'Свод 2020'!AD4</f>
        <v>28108.61</v>
      </c>
    </row>
    <row r="27" spans="2:5" ht="30.75" customHeight="1">
      <c r="B27" s="105" t="s">
        <v>144</v>
      </c>
      <c r="C27" s="164" t="s">
        <v>135</v>
      </c>
      <c r="D27" s="283">
        <f>'Свод 2020'!AE4</f>
        <v>103490.78</v>
      </c>
    </row>
    <row r="28" spans="2:5" ht="30.75" hidden="1" customHeight="1" thickBo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</f>
        <v>45995.9</v>
      </c>
    </row>
    <row r="32" spans="2:5" ht="30">
      <c r="B32" s="148" t="s">
        <v>133</v>
      </c>
      <c r="C32" s="53"/>
      <c r="D32" s="54"/>
    </row>
    <row r="33" spans="2:5" ht="59.25">
      <c r="B33" s="124" t="s">
        <v>173</v>
      </c>
      <c r="C33" s="94" t="s">
        <v>168</v>
      </c>
      <c r="D33" s="89">
        <f>'Свод 2020'!AI4</f>
        <v>99338.38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</f>
        <v>30344.52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210">
        <f>'Свод 2020'!AL4</f>
        <v>26830.94</v>
      </c>
    </row>
    <row r="39" spans="2:5" ht="15">
      <c r="B39" s="155" t="s">
        <v>131</v>
      </c>
      <c r="C39" s="165"/>
      <c r="D39" s="211"/>
    </row>
    <row r="40" spans="2:5" ht="44.25" customHeight="1" thickBot="1">
      <c r="B40" s="158" t="s">
        <v>148</v>
      </c>
      <c r="C40" s="159" t="s">
        <v>139</v>
      </c>
      <c r="D40" s="210">
        <f>'Свод 2020'!AM4</f>
        <v>46634.74</v>
      </c>
    </row>
    <row r="41" spans="2:5" ht="19.5" customHeight="1">
      <c r="B41" s="167" t="s">
        <v>149</v>
      </c>
      <c r="C41" s="150"/>
      <c r="D41" s="162"/>
    </row>
    <row r="42" spans="2:5" ht="120.75" thickBot="1">
      <c r="B42" s="158" t="s">
        <v>163</v>
      </c>
      <c r="C42" s="159" t="s">
        <v>139</v>
      </c>
      <c r="D42" s="104">
        <f>'Свод 2020'!AJ4</f>
        <v>66078.81</v>
      </c>
      <c r="E42" s="22">
        <f>D43-C8-C13</f>
        <v>21694.38999999997</v>
      </c>
    </row>
    <row r="43" spans="2:5" ht="15" thickBot="1">
      <c r="B43" s="229" t="s">
        <v>253</v>
      </c>
      <c r="C43" s="230"/>
      <c r="D43" s="231">
        <f>SUM(D19:D42)</f>
        <v>681383.40999999992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2:D12"/>
    <mergeCell ref="C13:D13"/>
    <mergeCell ref="C14:D14"/>
    <mergeCell ref="C17:C18"/>
    <mergeCell ref="D17:D18"/>
    <mergeCell ref="C44:D45"/>
    <mergeCell ref="D19:D20"/>
    <mergeCell ref="D27:D30"/>
    <mergeCell ref="C5:D5"/>
    <mergeCell ref="C6:D6"/>
    <mergeCell ref="C7:D7"/>
    <mergeCell ref="C8:D8"/>
    <mergeCell ref="C9:D9"/>
    <mergeCell ref="C10:D10"/>
    <mergeCell ref="C11:D11"/>
    <mergeCell ref="B49:D49"/>
    <mergeCell ref="B50:D50"/>
    <mergeCell ref="B51:D51"/>
    <mergeCell ref="B1:D1"/>
    <mergeCell ref="B2:D2"/>
    <mergeCell ref="B3:D3"/>
    <mergeCell ref="B15:D15"/>
    <mergeCell ref="B16:D16"/>
    <mergeCell ref="B46:D46"/>
  </mergeCells>
  <phoneticPr fontId="0" type="noConversion"/>
  <pageMargins left="0" right="0" top="0" bottom="0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topLeftCell="A11" workbookViewId="0">
      <selection activeCell="D17" sqref="D17:D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356</v>
      </c>
      <c r="C3" s="264"/>
      <c r="D3" s="264"/>
    </row>
    <row r="4" spans="2:6" ht="15.75" thickBot="1">
      <c r="B4" s="57" t="s">
        <v>232</v>
      </c>
      <c r="C4" s="226">
        <f>'Свод 2020'!H22</f>
        <v>3218.2</v>
      </c>
      <c r="D4" s="217">
        <f>'Свод 2020'!J22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2020'!H22</f>
        <v>3218.2</v>
      </c>
      <c r="F5" s="22">
        <f>'Свод 2020'!J22</f>
        <v>21.73</v>
      </c>
    </row>
    <row r="6" spans="2:6" ht="30">
      <c r="B6" s="178" t="s">
        <v>321</v>
      </c>
      <c r="C6" s="272">
        <f>'Свод 2020'!K22</f>
        <v>97763.050000000163</v>
      </c>
      <c r="D6" s="273"/>
    </row>
    <row r="7" spans="2:6" ht="15">
      <c r="B7" s="40" t="s">
        <v>322</v>
      </c>
      <c r="C7" s="261">
        <f>'Свод 2020'!L22</f>
        <v>837561.36</v>
      </c>
      <c r="D7" s="262"/>
    </row>
    <row r="8" spans="2:6" ht="15">
      <c r="B8" s="40" t="s">
        <v>323</v>
      </c>
      <c r="C8" s="261">
        <f>'Свод 2020'!M22</f>
        <v>827484.47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107839.94000000018</v>
      </c>
      <c r="D10" s="275"/>
      <c r="E10" s="22">
        <f>'Свод 2020'!O22</f>
        <v>107839.94000000018</v>
      </c>
      <c r="F10" s="125"/>
    </row>
    <row r="11" spans="2:6" ht="30">
      <c r="B11" s="178" t="s">
        <v>333</v>
      </c>
      <c r="C11" s="261">
        <f>'Свод 2020'!Q22</f>
        <v>0</v>
      </c>
      <c r="D11" s="262"/>
    </row>
    <row r="12" spans="2:6" ht="15">
      <c r="B12" s="40" t="s">
        <v>324</v>
      </c>
      <c r="C12" s="261">
        <f>'Свод 2020'!R22</f>
        <v>577.17999999999995</v>
      </c>
      <c r="D12" s="262"/>
    </row>
    <row r="13" spans="2:6" ht="15">
      <c r="B13" s="40" t="s">
        <v>325</v>
      </c>
      <c r="C13" s="261">
        <f>'Свод 2020'!S22</f>
        <v>577.17999999999995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2020'!T22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2020'!W22</f>
        <v>235958.42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2020'!U22</f>
        <v>2703.29</v>
      </c>
    </row>
    <row r="22" spans="2:5" ht="15">
      <c r="B22" s="46" t="s">
        <v>134</v>
      </c>
      <c r="C22" s="47" t="s">
        <v>60</v>
      </c>
      <c r="D22" s="48">
        <f>'Свод 2020'!V22</f>
        <v>18100.689999999999</v>
      </c>
    </row>
    <row r="23" spans="2:5" ht="30">
      <c r="B23" s="46" t="s">
        <v>161</v>
      </c>
      <c r="C23" s="94" t="s">
        <v>138</v>
      </c>
      <c r="D23" s="48">
        <f>'Свод 2020'!AA22+'Свод 2020'!Z22</f>
        <v>36687.480000000003</v>
      </c>
    </row>
    <row r="24" spans="2:5" ht="28.5" customHeight="1">
      <c r="B24" s="124" t="s">
        <v>141</v>
      </c>
      <c r="C24" s="49" t="s">
        <v>140</v>
      </c>
      <c r="D24" s="209">
        <f>'Свод 2020'!AC22</f>
        <v>2267.81</v>
      </c>
    </row>
    <row r="25" spans="2:5" ht="28.5" customHeight="1">
      <c r="B25" s="154" t="s">
        <v>142</v>
      </c>
      <c r="C25" s="98" t="s">
        <v>143</v>
      </c>
      <c r="D25" s="215">
        <f>'Свод 2020'!AB22</f>
        <v>1544.74</v>
      </c>
    </row>
    <row r="26" spans="2:5" ht="21.75" customHeight="1">
      <c r="B26" s="202" t="s">
        <v>153</v>
      </c>
      <c r="C26" s="47" t="s">
        <v>59</v>
      </c>
      <c r="D26" s="203">
        <f>'Свод 2020'!AD22</f>
        <v>33984.19</v>
      </c>
    </row>
    <row r="27" spans="2:5" ht="30.75" customHeight="1">
      <c r="B27" s="105" t="s">
        <v>144</v>
      </c>
      <c r="C27" s="164" t="s">
        <v>135</v>
      </c>
      <c r="D27" s="283">
        <f>'Свод 2020'!AE22</f>
        <v>125123.62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2020'!AG22</f>
        <v>55610.5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2020'!AI22</f>
        <v>130903.22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2020'!AK22</f>
        <v>69126.94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2020'!AL22</f>
        <v>32825.64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2020'!AM22</f>
        <v>56382.86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2020'!AJ22</f>
        <v>62947.99</v>
      </c>
      <c r="E42" s="22">
        <f>D43-C8-C13</f>
        <v>36105.739999999925</v>
      </c>
    </row>
    <row r="43" spans="2:5" ht="15" thickBot="1">
      <c r="B43" s="229" t="s">
        <v>253</v>
      </c>
      <c r="C43" s="230"/>
      <c r="D43" s="231">
        <f>SUM(D19:D42)</f>
        <v>864167.3899999999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ageMargins left="0.24" right="0.24" top="0.2" bottom="0.18" header="0.17" footer="0.17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8" enableFormatConditionsCalculation="0">
    <tabColor rgb="FFFFCCFF"/>
  </sheetPr>
  <dimension ref="B1:F60"/>
  <sheetViews>
    <sheetView topLeftCell="A12" workbookViewId="0">
      <selection activeCell="D23" sqref="D23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357</v>
      </c>
      <c r="C3" s="264"/>
      <c r="D3" s="264"/>
    </row>
    <row r="4" spans="2:6" ht="15.75" thickBot="1">
      <c r="B4" s="57" t="s">
        <v>233</v>
      </c>
      <c r="C4" s="226">
        <f>'Свод 2020'!H23</f>
        <v>4406.8</v>
      </c>
      <c r="D4" s="217">
        <f>'Свод 2020'!J23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2020'!H23</f>
        <v>4406.8</v>
      </c>
      <c r="F5" s="22">
        <f>'Свод 2020'!J23</f>
        <v>20.88</v>
      </c>
    </row>
    <row r="6" spans="2:6" ht="30">
      <c r="B6" s="178" t="s">
        <v>321</v>
      </c>
      <c r="C6" s="272">
        <f>'Свод 2020'!K23</f>
        <v>179594.24000000005</v>
      </c>
      <c r="D6" s="273"/>
    </row>
    <row r="7" spans="2:6" ht="15">
      <c r="B7" s="40" t="s">
        <v>322</v>
      </c>
      <c r="C7" s="261">
        <f>'Свод 2020'!L23</f>
        <v>1093130.99</v>
      </c>
      <c r="D7" s="262"/>
    </row>
    <row r="8" spans="2:6" ht="15">
      <c r="B8" s="40" t="s">
        <v>323</v>
      </c>
      <c r="C8" s="261">
        <f>'Свод 2020'!M23</f>
        <v>1119638.74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153086.49</v>
      </c>
      <c r="D10" s="275"/>
      <c r="E10" s="22">
        <f>'Свод 2020'!O23</f>
        <v>153086.49</v>
      </c>
      <c r="F10" s="125"/>
    </row>
    <row r="11" spans="2:6" ht="30">
      <c r="B11" s="178" t="s">
        <v>333</v>
      </c>
      <c r="C11" s="261">
        <f>'Свод 2020'!Q23</f>
        <v>1713.8600000000006</v>
      </c>
      <c r="D11" s="262"/>
    </row>
    <row r="12" spans="2:6" ht="15">
      <c r="B12" s="40" t="s">
        <v>324</v>
      </c>
      <c r="C12" s="261">
        <f>'Свод 2020'!R23</f>
        <v>21990.63</v>
      </c>
      <c r="D12" s="262"/>
    </row>
    <row r="13" spans="2:6" ht="15">
      <c r="B13" s="40" t="s">
        <v>325</v>
      </c>
      <c r="C13" s="261">
        <f>'Свод 2020'!S23</f>
        <v>15848.060000000001</v>
      </c>
      <c r="D13" s="262"/>
    </row>
    <row r="14" spans="2:6" ht="28.5">
      <c r="B14" s="41" t="s">
        <v>151</v>
      </c>
      <c r="C14" s="274">
        <f>C11+C12-C13</f>
        <v>7856.43</v>
      </c>
      <c r="D14" s="275"/>
      <c r="E14" s="22">
        <f>'Свод 2020'!T23</f>
        <v>7856.43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2020'!W23</f>
        <v>323106.58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2020'!U23</f>
        <v>3701.71</v>
      </c>
    </row>
    <row r="22" spans="2:5" ht="15">
      <c r="B22" s="46" t="s">
        <v>134</v>
      </c>
      <c r="C22" s="47" t="s">
        <v>60</v>
      </c>
      <c r="D22" s="48">
        <f>'Свод 2020'!V23</f>
        <v>48332.12</v>
      </c>
    </row>
    <row r="23" spans="2:5" ht="30">
      <c r="B23" s="46" t="s">
        <v>161</v>
      </c>
      <c r="C23" s="94" t="s">
        <v>138</v>
      </c>
      <c r="D23" s="48">
        <f>'Свод 2020'!AA23+'Свод 2020'!Z23</f>
        <v>50237.52</v>
      </c>
    </row>
    <row r="24" spans="2:5" ht="28.5" customHeight="1">
      <c r="B24" s="124" t="s">
        <v>141</v>
      </c>
      <c r="C24" s="49" t="s">
        <v>140</v>
      </c>
      <c r="D24" s="209">
        <f>'Свод 2020'!AC23</f>
        <v>2386.87</v>
      </c>
    </row>
    <row r="25" spans="2:5" ht="28.5" customHeight="1">
      <c r="B25" s="220" t="s">
        <v>142</v>
      </c>
      <c r="C25" s="49" t="s">
        <v>143</v>
      </c>
      <c r="D25" s="209">
        <f>'Свод 2020'!AB23</f>
        <v>2115.2600000000002</v>
      </c>
    </row>
    <row r="26" spans="2:5" ht="21.75" customHeight="1" thickBot="1">
      <c r="B26" s="172" t="s">
        <v>153</v>
      </c>
      <c r="C26" s="173" t="s">
        <v>59</v>
      </c>
      <c r="D26" s="174">
        <f>'Свод 2020'!AD23</f>
        <v>46535.81</v>
      </c>
    </row>
    <row r="27" spans="2:5" ht="30.75" customHeight="1">
      <c r="B27" s="95" t="s">
        <v>144</v>
      </c>
      <c r="C27" s="150" t="s">
        <v>135</v>
      </c>
      <c r="D27" s="286">
        <f>'Свод 2020'!AE23</f>
        <v>171336.38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2020'!AG23</f>
        <v>76149.5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2020'!AI23</f>
        <v>164461.78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2020'!AK23</f>
        <v>50237.52</v>
      </c>
    </row>
    <row r="37" spans="2:5" ht="15">
      <c r="B37" s="155" t="s">
        <v>234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2020'!AL23</f>
        <v>44420.54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2020'!AM23</f>
        <v>77207.14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2020'!AJ23</f>
        <v>118837.01</v>
      </c>
      <c r="E42" s="22">
        <f>D43-C8-C13</f>
        <v>43578.94</v>
      </c>
    </row>
    <row r="43" spans="2:5" ht="15" thickBot="1">
      <c r="B43" s="229" t="s">
        <v>253</v>
      </c>
      <c r="C43" s="230"/>
      <c r="D43" s="231">
        <f>SUM(D19:D42)</f>
        <v>1179065.74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honeticPr fontId="0" type="noConversion"/>
  <pageMargins left="0.24" right="0.24" top="0.18" bottom="0.17" header="0.17" footer="0.17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9" enableFormatConditionsCalculation="0">
    <tabColor rgb="FFFFCCFF"/>
  </sheetPr>
  <dimension ref="B1:F60"/>
  <sheetViews>
    <sheetView workbookViewId="0">
      <selection activeCell="C19" sqref="C19"/>
    </sheetView>
  </sheetViews>
  <sheetFormatPr defaultRowHeight="12.75"/>
  <cols>
    <col min="1" max="1" width="1.5703125" customWidth="1"/>
    <col min="2" max="2" width="56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358</v>
      </c>
      <c r="C3" s="264"/>
      <c r="D3" s="264"/>
    </row>
    <row r="4" spans="2:6" ht="15.75" thickBot="1">
      <c r="B4" s="57" t="s">
        <v>235</v>
      </c>
      <c r="C4" s="226">
        <f>'Свод 2020'!H24</f>
        <v>2722</v>
      </c>
      <c r="D4" s="217">
        <f>'Свод 2020'!J24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2020'!H24</f>
        <v>2722</v>
      </c>
      <c r="F5" s="22">
        <f>'Свод 2020'!J23</f>
        <v>20.88</v>
      </c>
    </row>
    <row r="6" spans="2:6" ht="30">
      <c r="B6" s="178" t="s">
        <v>359</v>
      </c>
      <c r="C6" s="272">
        <f>'Свод 2020'!K24</f>
        <v>181124.0299999998</v>
      </c>
      <c r="D6" s="273"/>
    </row>
    <row r="7" spans="2:6" ht="15">
      <c r="B7" s="40" t="s">
        <v>322</v>
      </c>
      <c r="C7" s="261">
        <f>'Свод 2020'!L24</f>
        <v>682015.84</v>
      </c>
      <c r="D7" s="262"/>
    </row>
    <row r="8" spans="2:6" ht="15">
      <c r="B8" s="40" t="s">
        <v>323</v>
      </c>
      <c r="C8" s="261">
        <f>'Свод 2020'!M24</f>
        <v>680166.12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182973.74999999977</v>
      </c>
      <c r="D10" s="275"/>
      <c r="E10" s="22">
        <f>'Свод 2020'!O24</f>
        <v>182973.74999999977</v>
      </c>
      <c r="F10" s="125"/>
    </row>
    <row r="11" spans="2:6" ht="30">
      <c r="B11" s="178" t="s">
        <v>333</v>
      </c>
      <c r="C11" s="261">
        <f>'Свод 2020'!Q24</f>
        <v>1199.5799999999995</v>
      </c>
      <c r="D11" s="262"/>
    </row>
    <row r="12" spans="2:6" ht="15">
      <c r="B12" s="40" t="s">
        <v>324</v>
      </c>
      <c r="C12" s="261">
        <f>'Свод 2020'!R24</f>
        <v>4798.32</v>
      </c>
      <c r="D12" s="262"/>
    </row>
    <row r="13" spans="2:6" ht="15">
      <c r="B13" s="40" t="s">
        <v>325</v>
      </c>
      <c r="C13" s="261">
        <f>'Свод 2020'!S24</f>
        <v>998.6</v>
      </c>
      <c r="D13" s="262"/>
    </row>
    <row r="14" spans="2:6" ht="28.5">
      <c r="B14" s="41" t="s">
        <v>151</v>
      </c>
      <c r="C14" s="274">
        <f>C11+C12-C13</f>
        <v>4999.2999999999993</v>
      </c>
      <c r="D14" s="275"/>
      <c r="E14" s="22">
        <f>'Свод 2020'!T24</f>
        <v>4999.2999999999993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2020'!W24</f>
        <v>199577.04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2020'!U24</f>
        <v>2286.48</v>
      </c>
    </row>
    <row r="22" spans="2:5" ht="15">
      <c r="B22" s="46" t="s">
        <v>134</v>
      </c>
      <c r="C22" s="47" t="s">
        <v>60</v>
      </c>
      <c r="D22" s="48">
        <f>'Свод 2020'!V24</f>
        <v>65711.459999999992</v>
      </c>
    </row>
    <row r="23" spans="2:5" ht="30">
      <c r="B23" s="46" t="s">
        <v>161</v>
      </c>
      <c r="C23" s="94" t="s">
        <v>138</v>
      </c>
      <c r="D23" s="48">
        <f>'Свод 2020'!AA24+'Свод 2020'!Z24</f>
        <v>31030.799999999999</v>
      </c>
    </row>
    <row r="24" spans="2:5" ht="28.5" customHeight="1">
      <c r="B24" s="124" t="s">
        <v>141</v>
      </c>
      <c r="C24" s="49" t="s">
        <v>140</v>
      </c>
      <c r="D24" s="209">
        <f>'Свод 2020'!AC24</f>
        <v>2351.1</v>
      </c>
    </row>
    <row r="25" spans="2:5" ht="28.5" customHeight="1">
      <c r="B25" s="154" t="s">
        <v>142</v>
      </c>
      <c r="C25" s="98" t="s">
        <v>143</v>
      </c>
      <c r="D25" s="215">
        <f>'Свод 2020'!AB24</f>
        <v>1306.56</v>
      </c>
    </row>
    <row r="26" spans="2:5" ht="21.75" customHeight="1">
      <c r="B26" s="202" t="s">
        <v>153</v>
      </c>
      <c r="C26" s="47" t="s">
        <v>59</v>
      </c>
      <c r="D26" s="203">
        <f>'Свод 2020'!AD24</f>
        <v>28744.32</v>
      </c>
    </row>
    <row r="27" spans="2:5" ht="30.75" customHeight="1">
      <c r="B27" s="105" t="s">
        <v>144</v>
      </c>
      <c r="C27" s="164" t="s">
        <v>135</v>
      </c>
      <c r="D27" s="283">
        <f>'Свод 2020'!AE24</f>
        <v>105831.36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30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2020'!AG24</f>
        <v>47036.160000000003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2020'!AI24</f>
        <v>117685.04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2020'!AK24</f>
        <v>31030.799999999999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2020'!AL24</f>
        <v>27437.759999999998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2020'!AM24</f>
        <v>47689.440000000002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2020'!AJ24</f>
        <v>53242.32</v>
      </c>
      <c r="E42" s="22">
        <f>D43-C8-C13</f>
        <v>79795.920000000013</v>
      </c>
    </row>
    <row r="43" spans="2:5" ht="15" thickBot="1">
      <c r="B43" s="229" t="s">
        <v>253</v>
      </c>
      <c r="C43" s="230"/>
      <c r="D43" s="231">
        <f>SUM(D19:D42)</f>
        <v>760960.64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honeticPr fontId="0" type="noConversion"/>
  <pageMargins left="0.24" right="0.24" top="0.23" bottom="0.42" header="0.17" footer="0.2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5" enableFormatConditionsCalculation="0">
    <tabColor rgb="FFFFCCFF"/>
  </sheetPr>
  <dimension ref="B1:F60"/>
  <sheetViews>
    <sheetView topLeftCell="A38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354</v>
      </c>
      <c r="C3" s="264"/>
      <c r="D3" s="264"/>
    </row>
    <row r="4" spans="2:6" ht="15.75" thickBot="1">
      <c r="B4" s="57" t="s">
        <v>236</v>
      </c>
      <c r="C4" s="226">
        <f>'Свод 2020'!H25</f>
        <v>3057.8</v>
      </c>
      <c r="D4" s="217">
        <f>'Свод 2020'!J25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2020'!H25</f>
        <v>3057.8</v>
      </c>
      <c r="F5" s="22">
        <f>'Свод 2020'!J25</f>
        <v>21.73</v>
      </c>
    </row>
    <row r="6" spans="2:6" ht="30">
      <c r="B6" s="178" t="s">
        <v>321</v>
      </c>
      <c r="C6" s="272">
        <f>'Свод 2020'!K25</f>
        <v>79516.369999999879</v>
      </c>
      <c r="D6" s="273"/>
    </row>
    <row r="7" spans="2:6" ht="15">
      <c r="B7" s="40" t="s">
        <v>322</v>
      </c>
      <c r="C7" s="261">
        <f>'Свод 2020'!L25</f>
        <v>797353.08</v>
      </c>
      <c r="D7" s="262"/>
    </row>
    <row r="8" spans="2:6" ht="15">
      <c r="B8" s="40" t="s">
        <v>323</v>
      </c>
      <c r="C8" s="261">
        <f>'Свод 2020'!M25</f>
        <v>797717.22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79152.229999999865</v>
      </c>
      <c r="D10" s="275"/>
      <c r="E10" s="22">
        <f>'Свод 2020'!O25</f>
        <v>79152.229999999865</v>
      </c>
      <c r="F10" s="125"/>
    </row>
    <row r="11" spans="2:6" ht="30">
      <c r="B11" s="178" t="s">
        <v>333</v>
      </c>
      <c r="C11" s="261">
        <f>'Свод 2020'!Q25</f>
        <v>1199.58</v>
      </c>
      <c r="D11" s="262"/>
    </row>
    <row r="12" spans="2:6" ht="15">
      <c r="B12" s="40" t="s">
        <v>324</v>
      </c>
      <c r="C12" s="261">
        <f>'Свод 2020'!R25</f>
        <v>5346.66</v>
      </c>
      <c r="D12" s="262"/>
    </row>
    <row r="13" spans="2:6" ht="15">
      <c r="B13" s="40" t="s">
        <v>325</v>
      </c>
      <c r="C13" s="261">
        <f>'Свод 2020'!S25</f>
        <v>4546.9399999999996</v>
      </c>
      <c r="D13" s="262"/>
    </row>
    <row r="14" spans="2:6" ht="28.5">
      <c r="B14" s="41" t="s">
        <v>151</v>
      </c>
      <c r="C14" s="274">
        <f>C11+C12-C13</f>
        <v>1999.3000000000002</v>
      </c>
      <c r="D14" s="275"/>
      <c r="E14" s="22">
        <f>'Свод 2020'!T25</f>
        <v>1999.3000000000002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2020'!W25</f>
        <v>224197.9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2020'!U25</f>
        <v>2568.5500000000002</v>
      </c>
    </row>
    <row r="22" spans="2:5" ht="15">
      <c r="B22" s="46" t="s">
        <v>134</v>
      </c>
      <c r="C22" s="47" t="s">
        <v>60</v>
      </c>
      <c r="D22" s="48">
        <f>'Свод 2020'!V25</f>
        <v>31168.699999999997</v>
      </c>
    </row>
    <row r="23" spans="2:5" ht="30">
      <c r="B23" s="46" t="s">
        <v>161</v>
      </c>
      <c r="C23" s="94" t="s">
        <v>138</v>
      </c>
      <c r="D23" s="48">
        <f>'Свод 2020'!AA25+'Свод 2020'!Z25</f>
        <v>34858.920000000006</v>
      </c>
    </row>
    <row r="24" spans="2:5" ht="28.5" customHeight="1">
      <c r="B24" s="124" t="s">
        <v>141</v>
      </c>
      <c r="C24" s="49" t="s">
        <v>140</v>
      </c>
      <c r="D24" s="209">
        <f>'Свод 2020'!AC25</f>
        <v>1594.29</v>
      </c>
    </row>
    <row r="25" spans="2:5" ht="28.5" customHeight="1">
      <c r="B25" s="154" t="s">
        <v>142</v>
      </c>
      <c r="C25" s="98" t="s">
        <v>143</v>
      </c>
      <c r="D25" s="215">
        <f>'Свод 2020'!AB25</f>
        <v>1467.74</v>
      </c>
    </row>
    <row r="26" spans="2:5" ht="21.75" customHeight="1">
      <c r="B26" s="202" t="s">
        <v>153</v>
      </c>
      <c r="C26" s="47" t="s">
        <v>59</v>
      </c>
      <c r="D26" s="203">
        <f>'Свод 2020'!AD25</f>
        <v>32290.37</v>
      </c>
    </row>
    <row r="27" spans="2:5" ht="30.75" customHeight="1">
      <c r="B27" s="105" t="s">
        <v>144</v>
      </c>
      <c r="C27" s="164" t="s">
        <v>135</v>
      </c>
      <c r="D27" s="283">
        <f>'Свод 2020'!AE25</f>
        <v>118887.26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2020'!AG25</f>
        <v>52838.78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2020'!AI25</f>
        <v>119617.1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2020'!AK25</f>
        <v>65681.539999999994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2020'!AL25</f>
        <v>31189.56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2020'!AM25</f>
        <v>53572.66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2020'!AJ25</f>
        <v>59810.57</v>
      </c>
      <c r="E42" s="22">
        <f>D43-C8-C13</f>
        <v>27479.779999999973</v>
      </c>
    </row>
    <row r="43" spans="2:5" ht="15" thickBot="1">
      <c r="B43" s="229" t="s">
        <v>253</v>
      </c>
      <c r="C43" s="230"/>
      <c r="D43" s="231">
        <f>SUM(D19:D42)</f>
        <v>829743.94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21" bottom="0.3" header="0.17" footer="0.17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8"/>
  <sheetViews>
    <sheetView topLeftCell="A38" workbookViewId="0">
      <selection activeCell="K43" sqref="K43"/>
    </sheetView>
  </sheetViews>
  <sheetFormatPr defaultRowHeight="12.75"/>
  <cols>
    <col min="1" max="1" width="0.85546875" customWidth="1"/>
    <col min="2" max="2" width="56.42578125" customWidth="1"/>
    <col min="3" max="3" width="21.42578125" customWidth="1"/>
    <col min="4" max="4" width="17.285156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360</v>
      </c>
      <c r="C3" s="264"/>
      <c r="D3" s="264"/>
    </row>
    <row r="4" spans="2:6" ht="15.75" thickBot="1">
      <c r="B4" s="57" t="s">
        <v>237</v>
      </c>
      <c r="C4" s="226">
        <f>'Свод 2020'!H26</f>
        <v>5970.1</v>
      </c>
      <c r="D4" s="217">
        <f>'Свод 2020'!J26</f>
        <v>25.92</v>
      </c>
      <c r="E4" s="22"/>
    </row>
    <row r="5" spans="2:6" ht="17.25" customHeight="1" thickBot="1">
      <c r="B5" s="36" t="s">
        <v>54</v>
      </c>
      <c r="C5" s="270" t="s">
        <v>150</v>
      </c>
      <c r="D5" s="271"/>
      <c r="E5" s="22"/>
      <c r="F5" s="22"/>
    </row>
    <row r="6" spans="2:6" ht="15.75" customHeight="1">
      <c r="B6" s="178" t="s">
        <v>321</v>
      </c>
      <c r="C6" s="272">
        <f>'Свод 2020'!K26</f>
        <v>324388.89999999967</v>
      </c>
      <c r="D6" s="273"/>
    </row>
    <row r="7" spans="2:6" ht="15">
      <c r="B7" s="40" t="s">
        <v>322</v>
      </c>
      <c r="C7" s="261">
        <f>'Свод 2020'!L26</f>
        <v>1794238.92</v>
      </c>
      <c r="D7" s="262"/>
    </row>
    <row r="8" spans="2:6" ht="15">
      <c r="B8" s="40" t="s">
        <v>323</v>
      </c>
      <c r="C8" s="261">
        <f>'Свод 2020'!M26</f>
        <v>1787697.16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7.75" customHeight="1">
      <c r="B10" s="41" t="s">
        <v>147</v>
      </c>
      <c r="C10" s="274">
        <f>C6+C7-C8-C9</f>
        <v>330930.65999999945</v>
      </c>
      <c r="D10" s="275"/>
      <c r="E10" s="22"/>
      <c r="F10" s="125"/>
    </row>
    <row r="11" spans="2:6" ht="16.5" customHeight="1">
      <c r="B11" s="178" t="s">
        <v>333</v>
      </c>
      <c r="C11" s="261">
        <f>'Свод 2020'!Q26</f>
        <v>0</v>
      </c>
      <c r="D11" s="262"/>
    </row>
    <row r="12" spans="2:6" ht="15">
      <c r="B12" s="40" t="s">
        <v>324</v>
      </c>
      <c r="C12" s="261">
        <f>'Свод 2020'!R26</f>
        <v>0</v>
      </c>
      <c r="D12" s="262"/>
    </row>
    <row r="13" spans="2:6" ht="15">
      <c r="B13" s="40" t="s">
        <v>325</v>
      </c>
      <c r="C13" s="261">
        <f>'Свод 2020'!S26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/>
      <c r="F14" s="22"/>
    </row>
    <row r="15" spans="2:6" ht="14.25">
      <c r="B15" s="266" t="s">
        <v>79</v>
      </c>
      <c r="C15" s="267"/>
      <c r="D15" s="268"/>
    </row>
    <row r="16" spans="2:6" ht="14.25" customHeight="1">
      <c r="B16" s="266" t="s">
        <v>326</v>
      </c>
      <c r="C16" s="267"/>
      <c r="D16" s="268"/>
    </row>
    <row r="17" spans="2:4" ht="13.5" customHeight="1">
      <c r="B17" s="43" t="s">
        <v>56</v>
      </c>
      <c r="C17" s="276" t="s">
        <v>57</v>
      </c>
      <c r="D17" s="278"/>
    </row>
    <row r="18" spans="2:4" ht="30.75" thickBot="1">
      <c r="B18" s="147" t="s">
        <v>132</v>
      </c>
      <c r="C18" s="277"/>
      <c r="D18" s="278"/>
    </row>
    <row r="19" spans="2:4" ht="89.25">
      <c r="B19" s="171" t="s">
        <v>156</v>
      </c>
      <c r="C19" s="150" t="s">
        <v>169</v>
      </c>
      <c r="D19" s="283">
        <f>'Свод 2020'!W26</f>
        <v>298743.8</v>
      </c>
    </row>
    <row r="20" spans="2:4" ht="15.75" thickBot="1">
      <c r="B20" s="158" t="s">
        <v>152</v>
      </c>
      <c r="C20" s="97" t="s">
        <v>143</v>
      </c>
      <c r="D20" s="284"/>
    </row>
    <row r="21" spans="2:4" ht="30">
      <c r="B21" s="105" t="s">
        <v>160</v>
      </c>
      <c r="C21" s="106" t="s">
        <v>157</v>
      </c>
      <c r="D21" s="170">
        <f>'Свод 2020'!U26</f>
        <v>5014.88</v>
      </c>
    </row>
    <row r="22" spans="2:4" ht="30">
      <c r="B22" s="46" t="s">
        <v>134</v>
      </c>
      <c r="C22" s="47" t="s">
        <v>60</v>
      </c>
      <c r="D22" s="48">
        <f>'Свод 2020'!V26</f>
        <v>28994.32</v>
      </c>
    </row>
    <row r="23" spans="2:4" ht="30">
      <c r="B23" s="46" t="s">
        <v>161</v>
      </c>
      <c r="C23" s="94" t="s">
        <v>138</v>
      </c>
      <c r="D23" s="48">
        <f>'Свод 2020'!AA26+'Свод 2020'!Z26</f>
        <v>68059.13</v>
      </c>
    </row>
    <row r="24" spans="2:4" ht="18.75" customHeight="1">
      <c r="B24" s="124" t="s">
        <v>141</v>
      </c>
      <c r="C24" s="197" t="s">
        <v>140</v>
      </c>
      <c r="D24" s="209">
        <f>'Свод 2020'!AC26</f>
        <v>2899.2299999999996</v>
      </c>
    </row>
    <row r="25" spans="2:4" ht="16.5" customHeight="1">
      <c r="B25" s="154" t="s">
        <v>142</v>
      </c>
      <c r="C25" s="98" t="s">
        <v>143</v>
      </c>
      <c r="D25" s="215">
        <f>'Свод 2020'!AB26</f>
        <v>2865.65</v>
      </c>
    </row>
    <row r="26" spans="2:4" ht="14.25" customHeight="1">
      <c r="B26" s="202" t="s">
        <v>153</v>
      </c>
      <c r="C26" s="47" t="s">
        <v>59</v>
      </c>
      <c r="D26" s="203">
        <f>'Свод 2020'!AD26</f>
        <v>63044.26</v>
      </c>
    </row>
    <row r="27" spans="2:4" ht="30.75" customHeight="1">
      <c r="B27" s="105" t="s">
        <v>144</v>
      </c>
      <c r="C27" s="164" t="s">
        <v>135</v>
      </c>
      <c r="D27" s="283">
        <f>'Свод 2020'!AE26</f>
        <v>232117.49</v>
      </c>
    </row>
    <row r="28" spans="2:4" ht="30.75" hidden="1" customHeight="1">
      <c r="B28" s="96" t="s">
        <v>4</v>
      </c>
      <c r="C28" s="97" t="s">
        <v>5</v>
      </c>
      <c r="D28" s="283"/>
    </row>
    <row r="29" spans="2:4" ht="30">
      <c r="B29" s="149" t="s">
        <v>136</v>
      </c>
      <c r="C29" s="98" t="s">
        <v>137</v>
      </c>
      <c r="D29" s="283"/>
    </row>
    <row r="30" spans="2:4" ht="18" customHeight="1" thickBot="1">
      <c r="B30" s="177" t="s">
        <v>4</v>
      </c>
      <c r="C30" s="196" t="s">
        <v>5</v>
      </c>
      <c r="D30" s="284"/>
    </row>
    <row r="31" spans="2:4" ht="17.25" customHeight="1" thickBot="1">
      <c r="B31" s="190" t="s">
        <v>158</v>
      </c>
      <c r="C31" s="191" t="s">
        <v>166</v>
      </c>
      <c r="D31" s="192">
        <f>'Свод 2020'!AG26</f>
        <v>103163.33</v>
      </c>
    </row>
    <row r="32" spans="2:4" ht="24.75" customHeight="1" thickBot="1">
      <c r="B32" s="193" t="s">
        <v>191</v>
      </c>
      <c r="C32" s="191" t="s">
        <v>166</v>
      </c>
      <c r="D32" s="194">
        <v>454109.7</v>
      </c>
    </row>
    <row r="33" spans="2:5" ht="26.25" customHeight="1">
      <c r="B33" s="189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2020'!AI26</f>
        <v>151162.93</v>
      </c>
    </row>
    <row r="35" spans="2:5" ht="45" customHeight="1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307</v>
      </c>
      <c r="C37" s="159" t="s">
        <v>139</v>
      </c>
      <c r="D37" s="160">
        <f>'Свод 2020'!AK26</f>
        <v>128237.75</v>
      </c>
    </row>
    <row r="38" spans="2:5" ht="15">
      <c r="B38" s="155" t="s">
        <v>130</v>
      </c>
      <c r="C38" s="161"/>
      <c r="D38" s="162"/>
    </row>
    <row r="39" spans="2:5" ht="42.75" customHeight="1" thickBot="1">
      <c r="B39" s="158" t="s">
        <v>308</v>
      </c>
      <c r="C39" s="159" t="s">
        <v>139</v>
      </c>
      <c r="D39" s="163">
        <f>'Свод 2020'!AL26</f>
        <v>60895.02</v>
      </c>
    </row>
    <row r="40" spans="2:5" ht="15">
      <c r="B40" s="155" t="s">
        <v>131</v>
      </c>
      <c r="C40" s="165"/>
      <c r="D40" s="166"/>
    </row>
    <row r="41" spans="2:5" ht="45" customHeight="1" thickBot="1">
      <c r="B41" s="158" t="s">
        <v>148</v>
      </c>
      <c r="C41" s="159" t="s">
        <v>139</v>
      </c>
      <c r="D41" s="163">
        <f>'Свод 2020'!AM26</f>
        <v>104596.15</v>
      </c>
    </row>
    <row r="42" spans="2:5" ht="19.5" customHeight="1">
      <c r="B42" s="167" t="s">
        <v>149</v>
      </c>
      <c r="C42" s="150"/>
      <c r="D42" s="168"/>
    </row>
    <row r="43" spans="2:5" ht="92.25" customHeight="1" thickBot="1">
      <c r="B43" s="158" t="s">
        <v>163</v>
      </c>
      <c r="C43" s="159" t="s">
        <v>139</v>
      </c>
      <c r="D43" s="104">
        <f>'Свод 2020'!AJ26</f>
        <v>116775.16</v>
      </c>
      <c r="E43" s="22">
        <f>D44-C8-C13</f>
        <v>32981.639999999898</v>
      </c>
    </row>
    <row r="44" spans="2:5" ht="17.25" customHeight="1" thickBot="1">
      <c r="B44" s="229" t="s">
        <v>253</v>
      </c>
      <c r="C44" s="230"/>
      <c r="D44" s="231">
        <f>SUM(D19:D43)</f>
        <v>1820678.7999999998</v>
      </c>
      <c r="E44" s="22"/>
    </row>
    <row r="45" spans="2:5" ht="15" customHeight="1">
      <c r="B45" s="169" t="s">
        <v>145</v>
      </c>
      <c r="C45" s="279" t="s">
        <v>146</v>
      </c>
      <c r="D45" s="280"/>
    </row>
    <row r="46" spans="2:5" ht="27.75" customHeight="1">
      <c r="B46" s="187" t="s">
        <v>159</v>
      </c>
      <c r="C46" s="289"/>
      <c r="D46" s="290"/>
    </row>
    <row r="47" spans="2:5" ht="54.75" customHeight="1">
      <c r="B47" s="195" t="s">
        <v>184</v>
      </c>
      <c r="C47" s="287" t="s">
        <v>185</v>
      </c>
      <c r="D47" s="287"/>
    </row>
    <row r="48" spans="2:5" ht="41.25" customHeight="1">
      <c r="B48" s="195" t="s">
        <v>186</v>
      </c>
      <c r="C48" s="287" t="s">
        <v>185</v>
      </c>
      <c r="D48" s="287"/>
    </row>
    <row r="49" spans="2:4" ht="68.25" customHeight="1">
      <c r="B49" s="195" t="s">
        <v>187</v>
      </c>
      <c r="C49" s="188" t="s">
        <v>361</v>
      </c>
      <c r="D49" s="188" t="s">
        <v>188</v>
      </c>
    </row>
    <row r="50" spans="2:4" ht="27" customHeight="1">
      <c r="B50" s="195" t="s">
        <v>189</v>
      </c>
      <c r="C50" s="287" t="s">
        <v>185</v>
      </c>
      <c r="D50" s="287"/>
    </row>
    <row r="51" spans="2:4" ht="65.25" customHeight="1">
      <c r="B51" s="195" t="s">
        <v>190</v>
      </c>
      <c r="C51" s="287" t="s">
        <v>185</v>
      </c>
      <c r="D51" s="287"/>
    </row>
    <row r="52" spans="2:4" ht="53.25" customHeight="1">
      <c r="B52" s="195" t="s">
        <v>192</v>
      </c>
      <c r="C52" s="287" t="s">
        <v>185</v>
      </c>
      <c r="D52" s="287"/>
    </row>
    <row r="53" spans="2:4" ht="23.25" customHeight="1">
      <c r="B53" s="195" t="s">
        <v>193</v>
      </c>
      <c r="C53" s="287" t="s">
        <v>185</v>
      </c>
      <c r="D53" s="287"/>
    </row>
    <row r="54" spans="2:4" ht="14.25">
      <c r="B54" s="269" t="s">
        <v>215</v>
      </c>
      <c r="C54" s="269"/>
      <c r="D54" s="269"/>
    </row>
    <row r="55" spans="2:4" ht="3" customHeight="1">
      <c r="B55" s="121"/>
      <c r="C55" s="121"/>
      <c r="D55" s="121"/>
    </row>
    <row r="56" spans="2:4" ht="7.5" hidden="1" customHeight="1">
      <c r="B56" s="19"/>
      <c r="C56" s="19"/>
      <c r="D56" s="18"/>
    </row>
    <row r="57" spans="2:4" ht="18.75">
      <c r="B57" s="288" t="s">
        <v>87</v>
      </c>
      <c r="C57" s="288"/>
      <c r="D57" s="288"/>
    </row>
    <row r="58" spans="2:4" ht="18.75">
      <c r="B58" s="288" t="s">
        <v>50</v>
      </c>
      <c r="C58" s="288"/>
      <c r="D58" s="288"/>
    </row>
    <row r="59" spans="2:4" ht="18.75">
      <c r="B59" s="288" t="s">
        <v>49</v>
      </c>
      <c r="C59" s="288"/>
      <c r="D59" s="288"/>
    </row>
    <row r="60" spans="2:4" ht="6.75" customHeight="1">
      <c r="B60" s="101"/>
      <c r="C60" s="101"/>
      <c r="D60" s="101"/>
    </row>
    <row r="61" spans="2:4" ht="3.75" customHeight="1">
      <c r="B61" s="101"/>
      <c r="C61" s="101"/>
      <c r="D61" s="101"/>
    </row>
    <row r="62" spans="2:4" ht="15.75">
      <c r="B62" s="102" t="s">
        <v>64</v>
      </c>
      <c r="C62" s="102"/>
    </row>
    <row r="68" spans="2:2" ht="30.75" customHeight="1">
      <c r="B68" s="103"/>
    </row>
  </sheetData>
  <mergeCells count="30">
    <mergeCell ref="C9:D9"/>
    <mergeCell ref="C10:D10"/>
    <mergeCell ref="C45:D46"/>
    <mergeCell ref="C51:D51"/>
    <mergeCell ref="C52:D52"/>
    <mergeCell ref="C50:D50"/>
    <mergeCell ref="D27:D30"/>
    <mergeCell ref="C12:D12"/>
    <mergeCell ref="B15:D15"/>
    <mergeCell ref="B16:D16"/>
    <mergeCell ref="B59:D59"/>
    <mergeCell ref="B58:D58"/>
    <mergeCell ref="C48:D48"/>
    <mergeCell ref="C11:D11"/>
    <mergeCell ref="B57:D57"/>
    <mergeCell ref="C53:D53"/>
    <mergeCell ref="B54:D54"/>
    <mergeCell ref="C17:C18"/>
    <mergeCell ref="D17:D18"/>
    <mergeCell ref="D19:D20"/>
    <mergeCell ref="B1:D1"/>
    <mergeCell ref="B2:D2"/>
    <mergeCell ref="B3:D3"/>
    <mergeCell ref="C5:D5"/>
    <mergeCell ref="C14:D14"/>
    <mergeCell ref="C47:D47"/>
    <mergeCell ref="C13:D13"/>
    <mergeCell ref="C6:D6"/>
    <mergeCell ref="C7:D7"/>
    <mergeCell ref="C8:D8"/>
  </mergeCells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362</v>
      </c>
      <c r="C3" s="264"/>
      <c r="D3" s="264"/>
    </row>
    <row r="4" spans="2:6" ht="15.75" thickBot="1">
      <c r="B4" s="57" t="s">
        <v>238</v>
      </c>
      <c r="C4" s="226">
        <f>'Свод 2020'!H27</f>
        <v>3312.2</v>
      </c>
      <c r="D4" s="217">
        <f>'Свод 2020'!J27</f>
        <v>22.4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2020'!H27</f>
        <v>3312.2</v>
      </c>
      <c r="F5" s="22">
        <f>'Свод 2020'!J26</f>
        <v>25.92</v>
      </c>
    </row>
    <row r="6" spans="2:6" ht="30">
      <c r="B6" s="178" t="s">
        <v>321</v>
      </c>
      <c r="C6" s="272">
        <f>'Свод 2020'!K27</f>
        <v>102267.20000000001</v>
      </c>
      <c r="D6" s="273"/>
    </row>
    <row r="7" spans="2:6" ht="15">
      <c r="B7" s="40" t="s">
        <v>322</v>
      </c>
      <c r="C7" s="261">
        <f>'Свод 2020'!L27</f>
        <v>908328.95999999996</v>
      </c>
      <c r="D7" s="262"/>
    </row>
    <row r="8" spans="2:6" ht="15">
      <c r="B8" s="40" t="s">
        <v>323</v>
      </c>
      <c r="C8" s="261">
        <f>'Свод 2020'!M27</f>
        <v>861308.61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149287.54999999993</v>
      </c>
      <c r="D10" s="275"/>
      <c r="E10" s="22">
        <f>'Свод 2020'!O27</f>
        <v>149287.54999999993</v>
      </c>
      <c r="F10" s="125"/>
    </row>
    <row r="11" spans="2:6" ht="30">
      <c r="B11" s="178" t="s">
        <v>333</v>
      </c>
      <c r="C11" s="261">
        <f>'Свод 2020'!Q27</f>
        <v>0</v>
      </c>
      <c r="D11" s="262"/>
    </row>
    <row r="12" spans="2:6" ht="15">
      <c r="B12" s="40" t="s">
        <v>324</v>
      </c>
      <c r="C12" s="261">
        <f>'Свод 2020'!R27</f>
        <v>0</v>
      </c>
      <c r="D12" s="262"/>
    </row>
    <row r="13" spans="2:6" ht="15">
      <c r="B13" s="40" t="s">
        <v>325</v>
      </c>
      <c r="C13" s="261">
        <f>'Свод 2020'!S27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2020'!T27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2020'!W27</f>
        <v>242850.5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2020'!U27</f>
        <v>2782.25</v>
      </c>
    </row>
    <row r="22" spans="2:5" ht="15">
      <c r="B22" s="46" t="s">
        <v>134</v>
      </c>
      <c r="C22" s="47" t="s">
        <v>60</v>
      </c>
      <c r="D22" s="48">
        <f>'Свод 2020'!V27</f>
        <v>5167.03</v>
      </c>
    </row>
    <row r="23" spans="2:5" ht="30">
      <c r="B23" s="46" t="s">
        <v>161</v>
      </c>
      <c r="C23" s="94" t="s">
        <v>138</v>
      </c>
      <c r="D23" s="48">
        <f>'Свод 2020'!AA27+'Свод 2020'!Z27</f>
        <v>37759.08</v>
      </c>
    </row>
    <row r="24" spans="2:5" ht="28.5" customHeight="1">
      <c r="B24" s="124" t="s">
        <v>141</v>
      </c>
      <c r="C24" s="49" t="s">
        <v>140</v>
      </c>
      <c r="D24" s="209">
        <f>'Свод 2020'!AC27</f>
        <v>8484.19</v>
      </c>
    </row>
    <row r="25" spans="2:5" ht="28.5" customHeight="1">
      <c r="B25" s="154" t="s">
        <v>142</v>
      </c>
      <c r="C25" s="98" t="s">
        <v>143</v>
      </c>
      <c r="D25" s="215">
        <f>'Свод 2020'!AB27</f>
        <v>1589.86</v>
      </c>
    </row>
    <row r="26" spans="2:5" ht="21.75" customHeight="1">
      <c r="B26" s="202" t="s">
        <v>153</v>
      </c>
      <c r="C26" s="47" t="s">
        <v>59</v>
      </c>
      <c r="D26" s="203">
        <f>'Свод 2020'!AD27</f>
        <v>34976.83</v>
      </c>
    </row>
    <row r="27" spans="2:5" ht="30.75" customHeight="1">
      <c r="B27" s="105" t="s">
        <v>144</v>
      </c>
      <c r="C27" s="164" t="s">
        <v>135</v>
      </c>
      <c r="D27" s="283">
        <f>'Свод 2020'!AE27</f>
        <v>128778.34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2020'!AG27</f>
        <v>57234.82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2020'!AI27</f>
        <v>123611.3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2020'!AK27</f>
        <v>71146.06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2020'!AL27</f>
        <v>60414.53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2020'!AM27</f>
        <v>58029.74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2020'!AJ27</f>
        <v>64786.63</v>
      </c>
      <c r="E42" s="22">
        <f>D43-C8-C13</f>
        <v>36302.550000000047</v>
      </c>
    </row>
    <row r="43" spans="2:5" ht="15" thickBot="1">
      <c r="B43" s="229" t="s">
        <v>253</v>
      </c>
      <c r="C43" s="230"/>
      <c r="D43" s="231">
        <f>SUM(D19:D42)</f>
        <v>897611.16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ageMargins left="0" right="0" top="0" bottom="0" header="0.31496062992125984" footer="0.31496062992125984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topLeftCell="A11" workbookViewId="0">
      <selection activeCell="E18" sqref="E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332</v>
      </c>
      <c r="C3" s="264"/>
      <c r="D3" s="264"/>
    </row>
    <row r="4" spans="2:6" ht="15.75" thickBot="1">
      <c r="B4" s="57" t="s">
        <v>239</v>
      </c>
      <c r="C4" s="226">
        <f>'Свод 2020'!H28</f>
        <v>3530.6</v>
      </c>
      <c r="D4" s="217">
        <f>'Свод 2020'!J28</f>
        <v>22.4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2020'!H27</f>
        <v>3312.2</v>
      </c>
      <c r="F5" s="22">
        <f>'Свод 2020'!J26</f>
        <v>25.92</v>
      </c>
    </row>
    <row r="6" spans="2:6" ht="30">
      <c r="B6" s="178" t="s">
        <v>321</v>
      </c>
      <c r="C6" s="272">
        <f>'Свод 2020'!K28</f>
        <v>159268.54000000004</v>
      </c>
      <c r="D6" s="273"/>
    </row>
    <row r="7" spans="2:6" ht="15">
      <c r="B7" s="40" t="s">
        <v>322</v>
      </c>
      <c r="C7" s="261">
        <f>'Свод 2020'!L28</f>
        <v>949025.28000000003</v>
      </c>
      <c r="D7" s="262"/>
    </row>
    <row r="8" spans="2:6" ht="15">
      <c r="B8" s="40" t="s">
        <v>323</v>
      </c>
      <c r="C8" s="261">
        <f>'Свод 2020'!M28</f>
        <v>924275.58</v>
      </c>
      <c r="D8" s="262"/>
    </row>
    <row r="9" spans="2:6" ht="15">
      <c r="B9" s="40" t="s">
        <v>127</v>
      </c>
      <c r="C9" s="261">
        <f>'Свод 2020'!N28</f>
        <v>0</v>
      </c>
      <c r="D9" s="262"/>
    </row>
    <row r="10" spans="2:6" ht="28.5">
      <c r="B10" s="41" t="s">
        <v>147</v>
      </c>
      <c r="C10" s="274">
        <f>C6+C7-C8-C9</f>
        <v>184018.24000000011</v>
      </c>
      <c r="D10" s="275"/>
      <c r="E10" s="22">
        <f>'Свод 2020'!O27</f>
        <v>149287.54999999993</v>
      </c>
      <c r="F10" s="125"/>
    </row>
    <row r="11" spans="2:6" ht="30">
      <c r="B11" s="178" t="s">
        <v>333</v>
      </c>
      <c r="C11" s="261">
        <f>'Свод 2020'!Q27</f>
        <v>0</v>
      </c>
      <c r="D11" s="262"/>
    </row>
    <row r="12" spans="2:6" ht="15">
      <c r="B12" s="40" t="s">
        <v>324</v>
      </c>
      <c r="C12" s="261">
        <f>'Свод 2020'!R27</f>
        <v>0</v>
      </c>
      <c r="D12" s="262"/>
    </row>
    <row r="13" spans="2:6" ht="15">
      <c r="B13" s="40" t="s">
        <v>325</v>
      </c>
      <c r="C13" s="261">
        <f>'Свод 2020'!S27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2020'!T27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2020'!W28</f>
        <v>258863.59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2020'!U28</f>
        <v>2965.7</v>
      </c>
    </row>
    <row r="22" spans="2:5" ht="15">
      <c r="B22" s="46" t="s">
        <v>134</v>
      </c>
      <c r="C22" s="47" t="s">
        <v>60</v>
      </c>
      <c r="D22" s="48">
        <f>'Свод 2020'!V28</f>
        <v>5507.74</v>
      </c>
    </row>
    <row r="23" spans="2:5" ht="30">
      <c r="B23" s="46" t="s">
        <v>161</v>
      </c>
      <c r="C23" s="94" t="s">
        <v>138</v>
      </c>
      <c r="D23" s="48">
        <f>'Свод 2020'!AA28+'Свод 2020'!Z28</f>
        <v>40248.83</v>
      </c>
    </row>
    <row r="24" spans="2:5" ht="28.5" customHeight="1">
      <c r="B24" s="124" t="s">
        <v>141</v>
      </c>
      <c r="C24" s="49" t="s">
        <v>140</v>
      </c>
      <c r="D24" s="209">
        <f>'Свод 2020'!AC28</f>
        <v>3850.42</v>
      </c>
    </row>
    <row r="25" spans="2:5" ht="28.5" customHeight="1">
      <c r="B25" s="154" t="s">
        <v>142</v>
      </c>
      <c r="C25" s="98" t="s">
        <v>143</v>
      </c>
      <c r="D25" s="215">
        <f>'Свод 2020'!AB28</f>
        <v>1694.69</v>
      </c>
    </row>
    <row r="26" spans="2:5" ht="21.75" customHeight="1">
      <c r="B26" s="202" t="s">
        <v>153</v>
      </c>
      <c r="C26" s="47" t="s">
        <v>59</v>
      </c>
      <c r="D26" s="203">
        <f>'Свод 2020'!AD28</f>
        <v>37283.14</v>
      </c>
    </row>
    <row r="27" spans="2:5" ht="30.75" customHeight="1">
      <c r="B27" s="105" t="s">
        <v>144</v>
      </c>
      <c r="C27" s="164" t="s">
        <v>135</v>
      </c>
      <c r="D27" s="283">
        <f>'Свод 2020'!AE28</f>
        <v>137269.73000000001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2020'!AG28</f>
        <v>61008.77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2020'!AI28</f>
        <v>131761.99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2020'!AK28</f>
        <v>75837.289999999994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2020'!AL28</f>
        <v>64398.14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2020'!AM28</f>
        <v>61856.11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2020'!AJ28</f>
        <v>69058.539999999994</v>
      </c>
      <c r="E42" s="22">
        <f>D43-C8-C13</f>
        <v>27329.10000000021</v>
      </c>
    </row>
    <row r="43" spans="2:5" ht="15" thickBot="1">
      <c r="B43" s="229" t="s">
        <v>253</v>
      </c>
      <c r="C43" s="230"/>
      <c r="D43" s="231">
        <f>SUM(D19:D42)</f>
        <v>951604.68000000017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ageMargins left="0" right="0" top="0" bottom="0" header="0.31496062992125984" footer="0.31496062992125984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0" enableFormatConditionsCalculation="0">
    <tabColor rgb="FF92D050"/>
  </sheetPr>
  <dimension ref="B1:F60"/>
  <sheetViews>
    <sheetView topLeftCell="A14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363</v>
      </c>
      <c r="C3" s="264"/>
      <c r="D3" s="264"/>
    </row>
    <row r="4" spans="2:6" ht="15.75" thickBot="1">
      <c r="B4" s="57" t="s">
        <v>240</v>
      </c>
      <c r="C4" s="226">
        <f>'Свод 2020'!H29</f>
        <v>7134.8</v>
      </c>
      <c r="D4" s="217">
        <f>'Свод 2020'!J29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2020'!H29</f>
        <v>7134.8</v>
      </c>
      <c r="F5" s="22">
        <f>'Свод 2020'!J29</f>
        <v>20.88</v>
      </c>
    </row>
    <row r="6" spans="2:6" ht="30">
      <c r="B6" s="178" t="s">
        <v>321</v>
      </c>
      <c r="C6" s="272">
        <f>'Свод 2020'!K29</f>
        <v>664310.99000000022</v>
      </c>
      <c r="D6" s="273"/>
    </row>
    <row r="7" spans="2:6" ht="15">
      <c r="B7" s="40" t="s">
        <v>322</v>
      </c>
      <c r="C7" s="261">
        <f>'Свод 2020'!L29</f>
        <v>1702454.88</v>
      </c>
      <c r="D7" s="262"/>
    </row>
    <row r="8" spans="2:6" ht="15">
      <c r="B8" s="40" t="s">
        <v>323</v>
      </c>
      <c r="C8" s="261">
        <f>'Свод 2020'!M29</f>
        <v>1661302.15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705463.7200000002</v>
      </c>
      <c r="D10" s="275"/>
      <c r="E10" s="22">
        <f>'Свод 2020'!O29</f>
        <v>705463.7200000002</v>
      </c>
      <c r="F10" s="125"/>
    </row>
    <row r="11" spans="2:6" ht="30">
      <c r="B11" s="178" t="s">
        <v>333</v>
      </c>
      <c r="C11" s="261">
        <f>'Свод 2020'!Q29</f>
        <v>54309.280000000013</v>
      </c>
      <c r="D11" s="262"/>
    </row>
    <row r="12" spans="2:6" ht="15">
      <c r="B12" s="40" t="s">
        <v>324</v>
      </c>
      <c r="C12" s="261">
        <f>'Свод 2020'!R29</f>
        <v>112684.11</v>
      </c>
      <c r="D12" s="262"/>
    </row>
    <row r="13" spans="2:6" ht="15">
      <c r="B13" s="40" t="s">
        <v>325</v>
      </c>
      <c r="C13" s="261">
        <f>'Свод 2020'!S29</f>
        <v>90630.92</v>
      </c>
      <c r="D13" s="262"/>
    </row>
    <row r="14" spans="2:6" ht="28.5">
      <c r="B14" s="41" t="s">
        <v>151</v>
      </c>
      <c r="C14" s="274">
        <f>C11+C12-C13</f>
        <v>76362.470000000016</v>
      </c>
      <c r="D14" s="275"/>
      <c r="E14" s="22">
        <f>'Свод 2020'!T29</f>
        <v>76362.470000000016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2020'!W29</f>
        <v>523123.54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2020'!U29</f>
        <v>5993.23</v>
      </c>
    </row>
    <row r="22" spans="2:5" ht="15">
      <c r="B22" s="46" t="s">
        <v>134</v>
      </c>
      <c r="C22" s="47" t="s">
        <v>60</v>
      </c>
      <c r="D22" s="48">
        <f>'Свод 2020'!V29</f>
        <v>11130.29</v>
      </c>
    </row>
    <row r="23" spans="2:5" ht="30">
      <c r="B23" s="46" t="s">
        <v>161</v>
      </c>
      <c r="C23" s="94" t="s">
        <v>138</v>
      </c>
      <c r="D23" s="48">
        <f>'Свод 2020'!AA29+'Свод 2020'!Z29</f>
        <v>81336.719999999987</v>
      </c>
    </row>
    <row r="24" spans="2:5" ht="28.5" customHeight="1">
      <c r="B24" s="124" t="s">
        <v>141</v>
      </c>
      <c r="C24" s="49" t="s">
        <v>140</v>
      </c>
      <c r="D24" s="209">
        <f>'Свод 2020'!AC29</f>
        <v>16830</v>
      </c>
    </row>
    <row r="25" spans="2:5" ht="28.5" customHeight="1">
      <c r="B25" s="154" t="s">
        <v>142</v>
      </c>
      <c r="C25" s="98" t="s">
        <v>143</v>
      </c>
      <c r="D25" s="215">
        <f>'Свод 2020'!AB29</f>
        <v>3424.7</v>
      </c>
    </row>
    <row r="26" spans="2:5" ht="21.75" customHeight="1">
      <c r="B26" s="202" t="s">
        <v>153</v>
      </c>
      <c r="C26" s="47" t="s">
        <v>59</v>
      </c>
      <c r="D26" s="203">
        <f>'Свод 2020'!AD29</f>
        <v>75343.490000000005</v>
      </c>
    </row>
    <row r="27" spans="2:5" ht="30.75" customHeight="1">
      <c r="B27" s="105" t="s">
        <v>144</v>
      </c>
      <c r="C27" s="164" t="s">
        <v>135</v>
      </c>
      <c r="D27" s="283">
        <f>'Свод 2020'!AE29</f>
        <v>277401.02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2020'!AG29</f>
        <v>123289.34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2020'!AI29</f>
        <v>269570.74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2020'!AK29</f>
        <v>81336.72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2020'!AL29</f>
        <v>71918.78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2020'!AM29</f>
        <v>125001.7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2020'!AJ29</f>
        <v>139556.69</v>
      </c>
      <c r="E42" s="22">
        <f>D43-C8-C13</f>
        <v>53323.890000000058</v>
      </c>
    </row>
    <row r="43" spans="2:5" ht="15" thickBot="1">
      <c r="B43" s="229" t="s">
        <v>253</v>
      </c>
      <c r="C43" s="230"/>
      <c r="D43" s="231">
        <f>SUM(D19:D42)</f>
        <v>1805256.96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8:D8"/>
    <mergeCell ref="C9:D9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17" bottom="0.17" header="0.19" footer="0.17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1" enableFormatConditionsCalculation="0">
    <tabColor rgb="FF92D050"/>
  </sheetPr>
  <dimension ref="B1:F60"/>
  <sheetViews>
    <sheetView workbookViewId="0">
      <selection activeCell="G22" sqref="G22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364</v>
      </c>
      <c r="C3" s="264"/>
      <c r="D3" s="264"/>
    </row>
    <row r="4" spans="2:6" ht="15.75" thickBot="1">
      <c r="B4" s="57" t="s">
        <v>241</v>
      </c>
      <c r="C4" s="226">
        <f>'Свод 2020'!H30</f>
        <v>2760.1</v>
      </c>
      <c r="D4" s="217">
        <f>'Свод 2020'!J30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2020'!H30</f>
        <v>2760.1</v>
      </c>
      <c r="F5" s="22">
        <f>'Свод 2020'!J30</f>
        <v>20.88</v>
      </c>
    </row>
    <row r="6" spans="2:6" ht="30">
      <c r="B6" s="178" t="s">
        <v>321</v>
      </c>
      <c r="C6" s="272">
        <f>'Свод 2020'!K30</f>
        <v>236818.60999999987</v>
      </c>
      <c r="D6" s="273"/>
    </row>
    <row r="7" spans="2:6" ht="15">
      <c r="B7" s="40" t="s">
        <v>322</v>
      </c>
      <c r="C7" s="261">
        <f>'Свод 2020'!L30</f>
        <v>543239.88</v>
      </c>
      <c r="D7" s="262"/>
    </row>
    <row r="8" spans="2:6" ht="15">
      <c r="B8" s="40" t="s">
        <v>323</v>
      </c>
      <c r="C8" s="261">
        <f>'Свод 2020'!M30</f>
        <v>512709.63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267348.85999999987</v>
      </c>
      <c r="D10" s="275"/>
      <c r="E10" s="22">
        <f>'Свод 2020'!O30</f>
        <v>267348.85999999987</v>
      </c>
      <c r="F10" s="125"/>
    </row>
    <row r="11" spans="2:6" ht="30">
      <c r="B11" s="178" t="s">
        <v>333</v>
      </c>
      <c r="C11" s="261">
        <f>'Свод 2020'!Q30</f>
        <v>8221.1300000000047</v>
      </c>
      <c r="D11" s="262"/>
    </row>
    <row r="12" spans="2:6" ht="15">
      <c r="B12" s="40" t="s">
        <v>324</v>
      </c>
      <c r="C12" s="261">
        <f>'Свод 2020'!R30</f>
        <v>170953.18</v>
      </c>
      <c r="D12" s="262"/>
    </row>
    <row r="13" spans="2:6" ht="15">
      <c r="B13" s="40" t="s">
        <v>325</v>
      </c>
      <c r="C13" s="261">
        <f>'Свод 2020'!S30</f>
        <v>168146.02</v>
      </c>
      <c r="D13" s="262"/>
    </row>
    <row r="14" spans="2:6" ht="28.5">
      <c r="B14" s="41" t="s">
        <v>151</v>
      </c>
      <c r="C14" s="274">
        <f>C11+C12-C13</f>
        <v>11028.290000000008</v>
      </c>
      <c r="D14" s="275"/>
      <c r="E14" s="22">
        <f>'Свод 2020'!T30</f>
        <v>11028.290000000008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2020'!W30</f>
        <v>202370.53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2020'!U30</f>
        <v>2318.48</v>
      </c>
    </row>
    <row r="22" spans="2:5" ht="15">
      <c r="B22" s="46" t="s">
        <v>134</v>
      </c>
      <c r="C22" s="47" t="s">
        <v>60</v>
      </c>
      <c r="D22" s="48">
        <f>'Свод 2020'!V30</f>
        <v>4305.76</v>
      </c>
    </row>
    <row r="23" spans="2:5" ht="30">
      <c r="B23" s="46" t="s">
        <v>161</v>
      </c>
      <c r="C23" s="94" t="s">
        <v>138</v>
      </c>
      <c r="D23" s="48">
        <f>'Свод 2020'!AA30+'Свод 2020'!Z30</f>
        <v>31465.129999999997</v>
      </c>
    </row>
    <row r="24" spans="2:5" ht="28.5" customHeight="1">
      <c r="B24" s="124" t="s">
        <v>141</v>
      </c>
      <c r="C24" s="49" t="s">
        <v>140</v>
      </c>
      <c r="D24" s="209">
        <f>'Свод 2020'!AC30</f>
        <v>1538.28</v>
      </c>
    </row>
    <row r="25" spans="2:5" ht="28.5" customHeight="1">
      <c r="B25" s="154" t="s">
        <v>142</v>
      </c>
      <c r="C25" s="98" t="s">
        <v>143</v>
      </c>
      <c r="D25" s="209">
        <f>'Свод 2020'!AB30</f>
        <v>1324.85</v>
      </c>
    </row>
    <row r="26" spans="2:5" ht="21.75" customHeight="1">
      <c r="B26" s="202" t="s">
        <v>153</v>
      </c>
      <c r="C26" s="47" t="s">
        <v>59</v>
      </c>
      <c r="D26" s="203">
        <f>'Свод 2020'!AD30</f>
        <v>29146.66</v>
      </c>
    </row>
    <row r="27" spans="2:5" ht="30.75" customHeight="1">
      <c r="B27" s="105" t="s">
        <v>144</v>
      </c>
      <c r="C27" s="164" t="s">
        <v>135</v>
      </c>
      <c r="D27" s="283">
        <f>'Свод 2020'!AE30</f>
        <v>107312.69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2020'!AG30</f>
        <v>47694.53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2020'!AI30</f>
        <v>124584.93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2020'!AK30</f>
        <v>31465.14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2020'!AL30</f>
        <v>27821.81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2020'!AM30</f>
        <v>66216.95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2020'!AJ30</f>
        <v>64426.559999999998</v>
      </c>
      <c r="E42" s="22">
        <f>D43-C8-C13</f>
        <v>61136.650000000052</v>
      </c>
    </row>
    <row r="43" spans="2:5" ht="15" thickBot="1">
      <c r="B43" s="229" t="s">
        <v>253</v>
      </c>
      <c r="C43" s="230"/>
      <c r="D43" s="231">
        <f>SUM(D19:D42)</f>
        <v>741992.3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2" bottom="0.32" header="0.2" footer="0.17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3">
    <tabColor rgb="FF92D050"/>
  </sheetPr>
  <dimension ref="B1:F61"/>
  <sheetViews>
    <sheetView topLeftCell="A35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365</v>
      </c>
      <c r="C3" s="264"/>
      <c r="D3" s="264"/>
    </row>
    <row r="4" spans="2:6" ht="15.75" thickBot="1">
      <c r="B4" s="57" t="s">
        <v>242</v>
      </c>
      <c r="C4" s="226">
        <f>'Свод 2020'!H31</f>
        <v>2132.6999999999998</v>
      </c>
      <c r="D4" s="217">
        <f>'Свод 2020'!J31</f>
        <v>23.27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2020'!H31</f>
        <v>2132.6999999999998</v>
      </c>
      <c r="F5" s="22">
        <f>'Свод 2020'!J31</f>
        <v>23.27</v>
      </c>
    </row>
    <row r="6" spans="2:6" ht="30">
      <c r="B6" s="178" t="s">
        <v>321</v>
      </c>
      <c r="C6" s="272">
        <f>'Свод 2020'!K31</f>
        <v>48553.380000000005</v>
      </c>
      <c r="D6" s="273"/>
    </row>
    <row r="7" spans="2:6" ht="15">
      <c r="B7" s="40" t="s">
        <v>322</v>
      </c>
      <c r="C7" s="261">
        <f>'Свод 2020'!L31</f>
        <v>455237.52</v>
      </c>
      <c r="D7" s="262"/>
    </row>
    <row r="8" spans="2:6" ht="15">
      <c r="B8" s="40" t="s">
        <v>323</v>
      </c>
      <c r="C8" s="261">
        <f>'Свод 2020'!M31</f>
        <v>451477.75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52313.150000000023</v>
      </c>
      <c r="D10" s="275"/>
      <c r="E10" s="22">
        <f>'Свод 2020'!O31</f>
        <v>52313.150000000023</v>
      </c>
      <c r="F10" s="125"/>
    </row>
    <row r="11" spans="2:6" ht="30">
      <c r="B11" s="178" t="s">
        <v>333</v>
      </c>
      <c r="C11" s="261">
        <f>'Свод 2020'!Q31</f>
        <v>2110.0999999999913</v>
      </c>
      <c r="D11" s="262"/>
    </row>
    <row r="12" spans="2:6" ht="15">
      <c r="B12" s="40" t="s">
        <v>324</v>
      </c>
      <c r="C12" s="261">
        <f>'Свод 2020'!R31</f>
        <v>72531.62</v>
      </c>
      <c r="D12" s="262"/>
    </row>
    <row r="13" spans="2:6" ht="15">
      <c r="B13" s="40" t="s">
        <v>325</v>
      </c>
      <c r="C13" s="261">
        <f>'Свод 2020'!S31</f>
        <v>69282.95</v>
      </c>
      <c r="D13" s="262"/>
    </row>
    <row r="14" spans="2:6" ht="28.5">
      <c r="B14" s="41" t="s">
        <v>151</v>
      </c>
      <c r="C14" s="274">
        <f>C11+C12-C13</f>
        <v>5358.7699999999895</v>
      </c>
      <c r="D14" s="275"/>
      <c r="E14" s="22">
        <f>'Свод 2020'!T31</f>
        <v>5358.7699999999895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2020'!W31</f>
        <v>156369.56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2020'!U31</f>
        <v>1791.47</v>
      </c>
    </row>
    <row r="22" spans="2:5" ht="15">
      <c r="B22" s="46" t="s">
        <v>134</v>
      </c>
      <c r="C22" s="47" t="s">
        <v>60</v>
      </c>
      <c r="D22" s="48">
        <f>'Свод 2020'!V31</f>
        <v>38516.560000000005</v>
      </c>
    </row>
    <row r="23" spans="2:5" ht="30">
      <c r="B23" s="46" t="s">
        <v>161</v>
      </c>
      <c r="C23" s="94" t="s">
        <v>138</v>
      </c>
      <c r="D23" s="48">
        <f>'Свод 2020'!AA31+'Свод 2020'!Z31</f>
        <v>24312.78</v>
      </c>
    </row>
    <row r="24" spans="2:5" ht="28.5" customHeight="1">
      <c r="B24" s="124" t="s">
        <v>141</v>
      </c>
      <c r="C24" s="49" t="s">
        <v>140</v>
      </c>
      <c r="D24" s="209">
        <f>'Свод 2020'!AC31</f>
        <v>1163.79</v>
      </c>
    </row>
    <row r="25" spans="2:5" ht="28.5" customHeight="1">
      <c r="B25" s="154" t="s">
        <v>142</v>
      </c>
      <c r="C25" s="98" t="s">
        <v>143</v>
      </c>
      <c r="D25" s="215">
        <f>'Свод 2020'!AB31</f>
        <v>1023.7</v>
      </c>
    </row>
    <row r="26" spans="2:5" ht="21.75" customHeight="1">
      <c r="B26" s="202" t="s">
        <v>153</v>
      </c>
      <c r="C26" s="47" t="s">
        <v>59</v>
      </c>
      <c r="D26" s="203">
        <f>'Свод 2020'!AD31</f>
        <v>0</v>
      </c>
    </row>
    <row r="27" spans="2:5" ht="30.75" customHeight="1">
      <c r="B27" s="105" t="s">
        <v>144</v>
      </c>
      <c r="C27" s="164" t="s">
        <v>135</v>
      </c>
      <c r="D27" s="283">
        <f>'Свод 2020'!AE31</f>
        <v>82919.38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02" t="s">
        <v>243</v>
      </c>
      <c r="C31" s="94" t="s">
        <v>244</v>
      </c>
      <c r="D31" s="209">
        <f>'Свод 2020'!X31</f>
        <v>61933.61</v>
      </c>
    </row>
    <row r="32" spans="2:5" ht="30">
      <c r="B32" s="175" t="s">
        <v>158</v>
      </c>
      <c r="C32" s="164" t="s">
        <v>166</v>
      </c>
      <c r="D32" s="176">
        <f>'Свод 2020'!AG31</f>
        <v>36853.06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2020'!AI31</f>
        <v>79592.36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2020'!AK31</f>
        <v>28919.41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2020'!AL31</f>
        <v>21753.54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2020'!AM31</f>
        <v>37364.9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2020'!AJ31</f>
        <v>26360.17</v>
      </c>
      <c r="E43" s="22">
        <f>D44-C8-C13</f>
        <v>78113.59000000004</v>
      </c>
    </row>
    <row r="44" spans="2:5" ht="15" thickBot="1">
      <c r="B44" s="229" t="s">
        <v>253</v>
      </c>
      <c r="C44" s="230"/>
      <c r="D44" s="231">
        <f>SUM(D19:D43)</f>
        <v>598874.29</v>
      </c>
      <c r="E44" s="22"/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>
      <c r="B49" s="19"/>
      <c r="C49" s="19"/>
      <c r="D49" s="18"/>
    </row>
    <row r="50" spans="2:4" ht="20.25">
      <c r="B50" s="263" t="s">
        <v>87</v>
      </c>
      <c r="C50" s="263"/>
      <c r="D50" s="263"/>
    </row>
    <row r="51" spans="2:4" ht="20.25">
      <c r="B51" s="263" t="s">
        <v>50</v>
      </c>
      <c r="C51" s="263"/>
      <c r="D51" s="263"/>
    </row>
    <row r="52" spans="2:4" ht="20.25">
      <c r="B52" s="263" t="s">
        <v>49</v>
      </c>
      <c r="C52" s="263"/>
      <c r="D52" s="263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 ht="15.75">
      <c r="B55" s="102" t="s">
        <v>64</v>
      </c>
      <c r="C55" s="102"/>
    </row>
    <row r="61" spans="2:4" ht="20.25">
      <c r="B61" s="103"/>
    </row>
  </sheetData>
  <mergeCells count="24">
    <mergeCell ref="B50:D50"/>
    <mergeCell ref="B51:D51"/>
    <mergeCell ref="C9:D9"/>
    <mergeCell ref="C10:D10"/>
    <mergeCell ref="C11:D11"/>
    <mergeCell ref="C12:D12"/>
    <mergeCell ref="C13:D13"/>
    <mergeCell ref="B52:D52"/>
    <mergeCell ref="C17:C18"/>
    <mergeCell ref="D17:D18"/>
    <mergeCell ref="D19:D20"/>
    <mergeCell ref="C14:D14"/>
    <mergeCell ref="B15:D15"/>
    <mergeCell ref="B16:D16"/>
    <mergeCell ref="D27:D30"/>
    <mergeCell ref="C45:D46"/>
    <mergeCell ref="B47:D47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2" bottom="0.17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tabColor rgb="FFFFFFCC"/>
  </sheetPr>
  <dimension ref="B1:F60"/>
  <sheetViews>
    <sheetView workbookViewId="0">
      <selection activeCell="E19" sqref="E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338</v>
      </c>
      <c r="C3" s="264"/>
      <c r="D3" s="264"/>
    </row>
    <row r="4" spans="2:6" ht="15.75" thickBot="1">
      <c r="B4" s="57" t="s">
        <v>212</v>
      </c>
      <c r="C4" s="226">
        <f>'Свод 2020'!H4</f>
        <v>2661.8</v>
      </c>
      <c r="D4" s="217">
        <f>'Свод 2020'!J5</f>
        <v>20.88</v>
      </c>
    </row>
    <row r="5" spans="2:6" ht="31.5" customHeight="1" thickBot="1">
      <c r="B5" s="36" t="s">
        <v>54</v>
      </c>
      <c r="C5" s="270" t="s">
        <v>150</v>
      </c>
      <c r="D5" s="271"/>
    </row>
    <row r="6" spans="2:6" ht="30">
      <c r="B6" s="178" t="s">
        <v>321</v>
      </c>
      <c r="C6" s="272">
        <f>'Свод 2020'!K5</f>
        <v>128020.25999999966</v>
      </c>
      <c r="D6" s="273"/>
    </row>
    <row r="7" spans="2:6" ht="15">
      <c r="B7" s="40" t="s">
        <v>322</v>
      </c>
      <c r="C7" s="261">
        <f>'Свод 2020'!L5</f>
        <v>763376.04</v>
      </c>
      <c r="D7" s="262"/>
    </row>
    <row r="8" spans="2:6" ht="15">
      <c r="B8" s="40" t="s">
        <v>323</v>
      </c>
      <c r="C8" s="261">
        <f>'Свод 2020'!M5</f>
        <v>722020.46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169375.83999999973</v>
      </c>
      <c r="D10" s="275"/>
      <c r="E10" s="22">
        <f>C6+C7-C8</f>
        <v>169375.83999999973</v>
      </c>
    </row>
    <row r="11" spans="2:6" ht="30">
      <c r="B11" s="178" t="s">
        <v>333</v>
      </c>
      <c r="C11" s="261">
        <f>'Свод 2020'!Q5</f>
        <v>19451.170000000002</v>
      </c>
      <c r="D11" s="262"/>
    </row>
    <row r="12" spans="2:6" ht="15">
      <c r="B12" s="40" t="s">
        <v>324</v>
      </c>
      <c r="C12" s="261">
        <f>'Свод 2020'!R5</f>
        <v>36204.300000000003</v>
      </c>
      <c r="D12" s="262"/>
    </row>
    <row r="13" spans="2:6" ht="15">
      <c r="B13" s="40" t="s">
        <v>325</v>
      </c>
      <c r="C13" s="261">
        <f>'Свод 2020'!S5</f>
        <v>17922.23</v>
      </c>
      <c r="D13" s="262"/>
    </row>
    <row r="14" spans="2:6" ht="28.5">
      <c r="B14" s="41" t="s">
        <v>151</v>
      </c>
      <c r="C14" s="274">
        <f>C11+C12-C13</f>
        <v>37733.240000000005</v>
      </c>
      <c r="D14" s="275"/>
      <c r="E14" s="22">
        <f>C11+C12-C13</f>
        <v>37733.240000000005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</f>
        <v>226382.83</v>
      </c>
    </row>
    <row r="20" spans="2:5" ht="15.75" thickBot="1">
      <c r="B20" s="158" t="s">
        <v>152</v>
      </c>
      <c r="C20" s="97" t="s">
        <v>143</v>
      </c>
      <c r="D20" s="284"/>
      <c r="E20" t="s">
        <v>167</v>
      </c>
    </row>
    <row r="21" spans="2:5" ht="30">
      <c r="B21" s="105" t="s">
        <v>160</v>
      </c>
      <c r="C21" s="106" t="s">
        <v>157</v>
      </c>
      <c r="D21" s="170">
        <f>'Свод 2020'!U5</f>
        <v>2593.58</v>
      </c>
    </row>
    <row r="22" spans="2:5" ht="15">
      <c r="B22" s="46" t="s">
        <v>134</v>
      </c>
      <c r="C22" s="47" t="s">
        <v>170</v>
      </c>
      <c r="D22" s="48">
        <f>'Свод 2020'!V5</f>
        <v>13861.57</v>
      </c>
    </row>
    <row r="23" spans="2:5" ht="30">
      <c r="B23" s="46" t="s">
        <v>161</v>
      </c>
      <c r="C23" s="94" t="s">
        <v>138</v>
      </c>
      <c r="D23" s="48">
        <f>'Свод 2020'!AA5+'Свод 2020'!Z5</f>
        <v>35198.630000000005</v>
      </c>
    </row>
    <row r="24" spans="2:5" ht="28.5" customHeight="1">
      <c r="B24" s="124" t="s">
        <v>141</v>
      </c>
      <c r="C24" s="49" t="s">
        <v>140</v>
      </c>
      <c r="D24" s="209">
        <f>'Свод 2020'!AC5</f>
        <v>1643.6799999999998</v>
      </c>
    </row>
    <row r="25" spans="2:5" ht="28.5" customHeight="1">
      <c r="B25" s="154" t="s">
        <v>142</v>
      </c>
      <c r="C25" s="98" t="s">
        <v>143</v>
      </c>
      <c r="D25" s="215">
        <f>'Свод 2020'!AB5</f>
        <v>1482.05</v>
      </c>
    </row>
    <row r="26" spans="2:5" ht="21.75" customHeight="1">
      <c r="B26" s="202" t="s">
        <v>153</v>
      </c>
      <c r="C26" s="47" t="s">
        <v>169</v>
      </c>
      <c r="D26" s="203">
        <f>'Свод 2020'!AD5</f>
        <v>32605.06</v>
      </c>
    </row>
    <row r="27" spans="2:5" ht="30.75" customHeight="1">
      <c r="B27" s="105" t="s">
        <v>144</v>
      </c>
      <c r="C27" s="164" t="s">
        <v>135</v>
      </c>
      <c r="D27" s="283">
        <f>'Свод 2020'!AE5</f>
        <v>120045.89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</f>
        <v>53353.73</v>
      </c>
    </row>
    <row r="32" spans="2:5" ht="30">
      <c r="B32" s="148" t="s">
        <v>133</v>
      </c>
      <c r="C32" s="53"/>
      <c r="D32" s="54"/>
    </row>
    <row r="33" spans="2:5" ht="59.25">
      <c r="B33" s="124" t="s">
        <v>171</v>
      </c>
      <c r="C33" s="94" t="s">
        <v>172</v>
      </c>
      <c r="D33" s="89">
        <f>'Свод 2020'!AI5</f>
        <v>120729.23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</f>
        <v>35198.639999999999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</f>
        <v>31123.01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</f>
        <v>54094.75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</f>
        <v>60393.46</v>
      </c>
      <c r="E42" s="22">
        <f>D43-C8-C13</f>
        <v>48763.420000000027</v>
      </c>
    </row>
    <row r="43" spans="2:5" ht="15" thickBot="1">
      <c r="B43" s="229" t="s">
        <v>253</v>
      </c>
      <c r="C43" s="230"/>
      <c r="D43" s="231">
        <f>SUM(D19:D42)</f>
        <v>788706.11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3:D3"/>
    <mergeCell ref="B2:D2"/>
    <mergeCell ref="B1:D1"/>
    <mergeCell ref="C5:D5"/>
    <mergeCell ref="C6:D6"/>
    <mergeCell ref="C7:D7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8:D8"/>
    <mergeCell ref="C9:D9"/>
    <mergeCell ref="C10:D10"/>
    <mergeCell ref="C11:D11"/>
    <mergeCell ref="C12:D12"/>
    <mergeCell ref="C13:D13"/>
  </mergeCells>
  <phoneticPr fontId="0" type="noConversion"/>
  <pageMargins left="0.24" right="0.24" top="0.18" bottom="0.18" header="0.17" footer="0.17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4">
    <tabColor rgb="FF92D050"/>
  </sheetPr>
  <dimension ref="B1:F60"/>
  <sheetViews>
    <sheetView topLeftCell="A29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358</v>
      </c>
      <c r="C3" s="264"/>
      <c r="D3" s="264"/>
    </row>
    <row r="4" spans="2:6" ht="15.75" thickBot="1">
      <c r="B4" s="57" t="s">
        <v>245</v>
      </c>
      <c r="C4" s="226">
        <f>'Свод 2020'!H32</f>
        <v>4394.3999999999996</v>
      </c>
      <c r="D4" s="217">
        <f>'Свод 2020'!J32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2020'!H32</f>
        <v>4394.3999999999996</v>
      </c>
      <c r="F5" s="22">
        <f>'Свод 2020'!J32</f>
        <v>20.88</v>
      </c>
    </row>
    <row r="6" spans="2:6" ht="30">
      <c r="B6" s="178" t="s">
        <v>321</v>
      </c>
      <c r="C6" s="272">
        <f>'Свод 2020'!K32</f>
        <v>149292.92000000039</v>
      </c>
      <c r="D6" s="273"/>
    </row>
    <row r="7" spans="2:6" ht="15">
      <c r="B7" s="40" t="s">
        <v>322</v>
      </c>
      <c r="C7" s="261">
        <f>'Свод 2020'!L32</f>
        <v>1040070.26</v>
      </c>
      <c r="D7" s="262"/>
    </row>
    <row r="8" spans="2:6" ht="15">
      <c r="B8" s="40" t="s">
        <v>323</v>
      </c>
      <c r="C8" s="261">
        <f>'Свод 2020'!M32</f>
        <v>1008127.06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181236.12000000034</v>
      </c>
      <c r="D10" s="275"/>
      <c r="E10" s="22">
        <f>'Свод 2020'!O32</f>
        <v>181236.12000000034</v>
      </c>
      <c r="F10" s="125"/>
    </row>
    <row r="11" spans="2:6" ht="30">
      <c r="B11" s="178" t="s">
        <v>333</v>
      </c>
      <c r="C11" s="261">
        <f>'Свод 2020'!Q32</f>
        <v>33757.89999999998</v>
      </c>
      <c r="D11" s="262"/>
    </row>
    <row r="12" spans="2:6" ht="15">
      <c r="B12" s="40" t="s">
        <v>324</v>
      </c>
      <c r="C12" s="261">
        <f>'Свод 2020'!R32</f>
        <v>98894.199999999983</v>
      </c>
      <c r="D12" s="262"/>
    </row>
    <row r="13" spans="2:6" ht="15">
      <c r="B13" s="40" t="s">
        <v>325</v>
      </c>
      <c r="C13" s="261">
        <f>'Свод 2020'!S32</f>
        <v>86667.44</v>
      </c>
      <c r="D13" s="262"/>
    </row>
    <row r="14" spans="2:6" ht="28.5">
      <c r="B14" s="41" t="s">
        <v>151</v>
      </c>
      <c r="C14" s="274">
        <f>C11+C12-C13</f>
        <v>45984.659999999974</v>
      </c>
      <c r="D14" s="275"/>
      <c r="E14" s="22">
        <f>'Свод 2020'!T32</f>
        <v>45984.659999999974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2020'!W32</f>
        <v>322197.40999999997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2020'!U32</f>
        <v>3691.3</v>
      </c>
    </row>
    <row r="22" spans="2:5" ht="15">
      <c r="B22" s="46" t="s">
        <v>134</v>
      </c>
      <c r="C22" s="47" t="s">
        <v>60</v>
      </c>
      <c r="D22" s="48">
        <f>'Свод 2020'!V32</f>
        <v>66927.59</v>
      </c>
    </row>
    <row r="23" spans="2:5" ht="30">
      <c r="B23" s="46" t="s">
        <v>161</v>
      </c>
      <c r="C23" s="94" t="s">
        <v>138</v>
      </c>
      <c r="D23" s="48">
        <f>'Свод 2020'!AA32+'Свод 2020'!Z32</f>
        <v>50096.17</v>
      </c>
    </row>
    <row r="24" spans="2:5" ht="28.5" customHeight="1">
      <c r="B24" s="124" t="s">
        <v>141</v>
      </c>
      <c r="C24" s="49" t="s">
        <v>140</v>
      </c>
      <c r="D24" s="209">
        <f>'Свод 2020'!AC32</f>
        <v>4293.18</v>
      </c>
    </row>
    <row r="25" spans="2:5" ht="28.5" customHeight="1">
      <c r="B25" s="154" t="s">
        <v>142</v>
      </c>
      <c r="C25" s="98" t="s">
        <v>143</v>
      </c>
      <c r="D25" s="215">
        <f>'Свод 2020'!AB32</f>
        <v>2109.31</v>
      </c>
    </row>
    <row r="26" spans="2:5" ht="21.75" customHeight="1">
      <c r="B26" s="202" t="s">
        <v>153</v>
      </c>
      <c r="C26" s="47" t="s">
        <v>59</v>
      </c>
      <c r="D26" s="203">
        <f>'Свод 2020'!AD32</f>
        <v>46404.86</v>
      </c>
    </row>
    <row r="27" spans="2:5" ht="30.75" customHeight="1">
      <c r="B27" s="105" t="s">
        <v>144</v>
      </c>
      <c r="C27" s="164" t="s">
        <v>135</v>
      </c>
      <c r="D27" s="283">
        <f>'Свод 2020'!AE32</f>
        <v>170854.27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2020'!AG32</f>
        <v>75935.23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2020'!AI32</f>
        <v>163999.01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2020'!AK32</f>
        <v>50096.160000000003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2020'!AL32</f>
        <v>44295.55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2020'!AM32</f>
        <v>76989.89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2020'!AJ32</f>
        <v>85954.46</v>
      </c>
      <c r="E42" s="22">
        <f>D43-C8-C13</f>
        <v>69049.889999999839</v>
      </c>
    </row>
    <row r="43" spans="2:5" ht="15.75" thickBot="1">
      <c r="B43" s="229" t="s">
        <v>253</v>
      </c>
      <c r="C43" s="227"/>
      <c r="D43" s="228">
        <f>SUM(D19:D42)</f>
        <v>1163844.3899999999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19:D20"/>
    <mergeCell ref="D27:D30"/>
    <mergeCell ref="C44:D45"/>
    <mergeCell ref="B46:D46"/>
    <mergeCell ref="B49:D49"/>
    <mergeCell ref="C14:D14"/>
    <mergeCell ref="B15:D15"/>
    <mergeCell ref="B16:D16"/>
    <mergeCell ref="C17:C18"/>
    <mergeCell ref="D17:D18"/>
    <mergeCell ref="B50:D5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17" bottom="0.19" header="0.2" footer="0.17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5">
    <tabColor rgb="FF92D050"/>
  </sheetPr>
  <dimension ref="B1:F60"/>
  <sheetViews>
    <sheetView topLeftCell="A41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364</v>
      </c>
      <c r="C3" s="264"/>
      <c r="D3" s="264"/>
    </row>
    <row r="4" spans="2:6" ht="15.75" thickBot="1">
      <c r="B4" s="57" t="s">
        <v>246</v>
      </c>
      <c r="C4" s="226">
        <f>'Свод 2020'!H33</f>
        <v>2713.5</v>
      </c>
      <c r="D4" s="217">
        <f>'Свод 2020'!J33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2020'!H33</f>
        <v>2713.5</v>
      </c>
      <c r="F5" s="22">
        <f>'Свод 2020'!J33</f>
        <v>20.88</v>
      </c>
    </row>
    <row r="6" spans="2:6" ht="30">
      <c r="B6" s="178" t="s">
        <v>321</v>
      </c>
      <c r="C6" s="272">
        <f>'Свод 2020'!K33</f>
        <v>81914.319999999949</v>
      </c>
      <c r="D6" s="273"/>
    </row>
    <row r="7" spans="2:6" ht="15">
      <c r="B7" s="40" t="s">
        <v>322</v>
      </c>
      <c r="C7" s="261">
        <f>'Свод 2020'!L33</f>
        <v>653460.24</v>
      </c>
      <c r="D7" s="262"/>
    </row>
    <row r="8" spans="2:6" ht="15">
      <c r="B8" s="40" t="s">
        <v>323</v>
      </c>
      <c r="C8" s="261">
        <f>'Свод 2020'!M33</f>
        <v>668742.18000000005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66632.379999999888</v>
      </c>
      <c r="D10" s="275"/>
      <c r="E10" s="22">
        <f>'Свод 2020'!O33</f>
        <v>66632.379999999888</v>
      </c>
      <c r="F10" s="125"/>
    </row>
    <row r="11" spans="2:6" ht="30">
      <c r="B11" s="178" t="s">
        <v>333</v>
      </c>
      <c r="C11" s="261">
        <f>'Свод 2020'!Q33</f>
        <v>42330.42</v>
      </c>
      <c r="D11" s="262"/>
    </row>
    <row r="12" spans="2:6" ht="15">
      <c r="B12" s="40" t="s">
        <v>324</v>
      </c>
      <c r="C12" s="261">
        <f>'Свод 2020'!R33</f>
        <v>44850.939999999995</v>
      </c>
      <c r="D12" s="262"/>
    </row>
    <row r="13" spans="2:6" ht="15">
      <c r="B13" s="40" t="s">
        <v>325</v>
      </c>
      <c r="C13" s="261">
        <f>'Свод 2020'!S33</f>
        <v>26963.109999999997</v>
      </c>
      <c r="D13" s="262"/>
    </row>
    <row r="14" spans="2:6" ht="28.5">
      <c r="B14" s="41" t="s">
        <v>151</v>
      </c>
      <c r="C14" s="274">
        <f>C11+C12-C13</f>
        <v>60218.249999999985</v>
      </c>
      <c r="D14" s="275"/>
      <c r="E14" s="22">
        <f>'Свод 2020'!T33</f>
        <v>60218.249999999985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2020'!W33</f>
        <v>198953.82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2020'!U33</f>
        <v>2279.34</v>
      </c>
    </row>
    <row r="22" spans="2:5" ht="15">
      <c r="B22" s="46" t="s">
        <v>134</v>
      </c>
      <c r="C22" s="47" t="s">
        <v>60</v>
      </c>
      <c r="D22" s="48">
        <f>'Свод 2020'!V33</f>
        <v>52033.53</v>
      </c>
    </row>
    <row r="23" spans="2:5" ht="30">
      <c r="B23" s="46" t="s">
        <v>161</v>
      </c>
      <c r="C23" s="94" t="s">
        <v>138</v>
      </c>
      <c r="D23" s="48">
        <f>'Свод 2020'!AA33+'Свод 2020'!Z33</f>
        <v>30933.899999999998</v>
      </c>
    </row>
    <row r="24" spans="2:5" ht="28.5" customHeight="1">
      <c r="B24" s="124" t="s">
        <v>141</v>
      </c>
      <c r="C24" s="49" t="s">
        <v>140</v>
      </c>
      <c r="D24" s="209">
        <f>'Свод 2020'!AC33</f>
        <v>2526.8200000000002</v>
      </c>
    </row>
    <row r="25" spans="2:5" ht="28.5" customHeight="1">
      <c r="B25" s="154" t="s">
        <v>142</v>
      </c>
      <c r="C25" s="98" t="s">
        <v>143</v>
      </c>
      <c r="D25" s="215">
        <f>'Свод 2020'!AB33</f>
        <v>1302.48</v>
      </c>
    </row>
    <row r="26" spans="2:5" ht="21.75" customHeight="1">
      <c r="B26" s="202" t="s">
        <v>153</v>
      </c>
      <c r="C26" s="47" t="s">
        <v>59</v>
      </c>
      <c r="D26" s="203">
        <f>'Свод 2020'!AD33</f>
        <v>28654.560000000001</v>
      </c>
    </row>
    <row r="27" spans="2:5" ht="30.75" customHeight="1">
      <c r="B27" s="105" t="s">
        <v>144</v>
      </c>
      <c r="C27" s="164" t="s">
        <v>135</v>
      </c>
      <c r="D27" s="283">
        <f>'Свод 2020'!AE33</f>
        <v>105500.88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2020'!AG33</f>
        <v>46889.279999999999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2020'!AI33</f>
        <v>104867.82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2020'!AK33</f>
        <v>30933.9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2020'!AL33</f>
        <v>27352.080000000002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2020'!AM33</f>
        <v>47540.52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2020'!AJ33</f>
        <v>53076.06</v>
      </c>
      <c r="E42" s="22">
        <f>D43-C8-C13</f>
        <v>37139.699999999939</v>
      </c>
    </row>
    <row r="43" spans="2:5" ht="15" thickBot="1">
      <c r="B43" s="229" t="s">
        <v>253</v>
      </c>
      <c r="C43" s="230"/>
      <c r="D43" s="231">
        <f>SUM(D19:D42)</f>
        <v>732844.99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honeticPr fontId="0" type="noConversion"/>
  <pageMargins left="0.17" right="0.18" top="0.22" bottom="0.32" header="0.17" footer="0.19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2">
    <tabColor rgb="FF92D050"/>
  </sheetPr>
  <dimension ref="B1:G62"/>
  <sheetViews>
    <sheetView topLeftCell="A41" workbookViewId="0">
      <selection activeCell="D21" sqref="D21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7" ht="14.25">
      <c r="B1" s="264" t="s">
        <v>37</v>
      </c>
      <c r="C1" s="264"/>
      <c r="D1" s="264"/>
    </row>
    <row r="2" spans="2:7" ht="14.25">
      <c r="B2" s="265" t="s">
        <v>128</v>
      </c>
      <c r="C2" s="265"/>
      <c r="D2" s="265"/>
    </row>
    <row r="3" spans="2:7" ht="14.25">
      <c r="B3" s="264" t="s">
        <v>366</v>
      </c>
      <c r="C3" s="264"/>
      <c r="D3" s="264"/>
    </row>
    <row r="4" spans="2:7" ht="15.75" thickBot="1">
      <c r="B4" s="57" t="s">
        <v>247</v>
      </c>
      <c r="C4" s="226">
        <f>'Свод 2020'!H34</f>
        <v>2326.1999999999998</v>
      </c>
      <c r="D4" s="217" t="str">
        <f>'Свод 2020'!J34</f>
        <v>35,76/23,27</v>
      </c>
      <c r="E4" s="22"/>
    </row>
    <row r="5" spans="2:7" ht="31.5" customHeight="1" thickBot="1">
      <c r="B5" s="36" t="s">
        <v>54</v>
      </c>
      <c r="C5" s="270" t="s">
        <v>150</v>
      </c>
      <c r="D5" s="271"/>
      <c r="E5" s="22">
        <f>'Свод 2020'!H34</f>
        <v>2326.1999999999998</v>
      </c>
      <c r="F5" s="22" t="str">
        <f>'Свод 2020'!J34</f>
        <v>35,76/23,27</v>
      </c>
      <c r="G5">
        <v>37.36</v>
      </c>
    </row>
    <row r="6" spans="2:7" ht="30">
      <c r="B6" s="178" t="s">
        <v>321</v>
      </c>
      <c r="C6" s="272">
        <f>'Свод 2020'!K34</f>
        <v>293163.36</v>
      </c>
      <c r="D6" s="273"/>
    </row>
    <row r="7" spans="2:7" ht="15">
      <c r="B7" s="40" t="s">
        <v>322</v>
      </c>
      <c r="C7" s="261">
        <f>'Свод 2020'!L34</f>
        <v>838717.38</v>
      </c>
      <c r="D7" s="262"/>
    </row>
    <row r="8" spans="2:7" ht="15">
      <c r="B8" s="40" t="s">
        <v>323</v>
      </c>
      <c r="C8" s="261">
        <f>'Свод 2020'!M34</f>
        <v>851092.51</v>
      </c>
      <c r="D8" s="262"/>
    </row>
    <row r="9" spans="2:7" ht="15">
      <c r="B9" s="40" t="s">
        <v>127</v>
      </c>
      <c r="C9" s="261">
        <f>'Свод 2020'!N4</f>
        <v>0</v>
      </c>
      <c r="D9" s="262"/>
    </row>
    <row r="10" spans="2:7" ht="28.5">
      <c r="B10" s="41" t="s">
        <v>147</v>
      </c>
      <c r="C10" s="274">
        <f>C6+C7-C8-C9</f>
        <v>280788.23</v>
      </c>
      <c r="D10" s="275"/>
      <c r="E10" s="22">
        <f>'Свод 2020'!O34</f>
        <v>280788.23</v>
      </c>
      <c r="F10" s="125"/>
    </row>
    <row r="11" spans="2:7" ht="30">
      <c r="B11" s="178" t="s">
        <v>333</v>
      </c>
      <c r="C11" s="261">
        <f>'Свод 2020'!Q34</f>
        <v>18112.749999999985</v>
      </c>
      <c r="D11" s="262"/>
    </row>
    <row r="12" spans="2:7" ht="15">
      <c r="B12" s="40" t="s">
        <v>324</v>
      </c>
      <c r="C12" s="261">
        <f>'Свод 2020'!R34</f>
        <v>112656.48</v>
      </c>
      <c r="D12" s="262"/>
    </row>
    <row r="13" spans="2:7" ht="15">
      <c r="B13" s="40" t="s">
        <v>325</v>
      </c>
      <c r="C13" s="261">
        <f>'Свод 2020'!S34</f>
        <v>98051.46</v>
      </c>
      <c r="D13" s="262"/>
    </row>
    <row r="14" spans="2:7" ht="28.5">
      <c r="B14" s="41" t="s">
        <v>151</v>
      </c>
      <c r="C14" s="274">
        <f>C11+C12-C13</f>
        <v>32717.769999999975</v>
      </c>
      <c r="D14" s="275"/>
      <c r="E14" s="22">
        <f>'Свод 2020'!T34</f>
        <v>32717.769999999975</v>
      </c>
      <c r="F14" s="22"/>
    </row>
    <row r="15" spans="2:7" ht="14.25">
      <c r="B15" s="266" t="s">
        <v>79</v>
      </c>
      <c r="C15" s="267"/>
      <c r="D15" s="268"/>
    </row>
    <row r="16" spans="2:7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2020'!W34</f>
        <v>170556.98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2020'!U34</f>
        <v>1954.01</v>
      </c>
    </row>
    <row r="22" spans="2:5" ht="15">
      <c r="B22" s="46" t="s">
        <v>134</v>
      </c>
      <c r="C22" s="47" t="s">
        <v>60</v>
      </c>
      <c r="D22" s="48">
        <f>'Свод 2020'!V34</f>
        <v>10780.66</v>
      </c>
    </row>
    <row r="23" spans="2:5" ht="30">
      <c r="B23" s="46" t="s">
        <v>161</v>
      </c>
      <c r="C23" s="94" t="s">
        <v>138</v>
      </c>
      <c r="D23" s="48">
        <f>'Свод 2020'!AA34+'Свод 2020'!Z34</f>
        <v>26518.68</v>
      </c>
    </row>
    <row r="24" spans="2:5" ht="28.5" customHeight="1">
      <c r="B24" s="124" t="s">
        <v>141</v>
      </c>
      <c r="C24" s="49" t="s">
        <v>140</v>
      </c>
      <c r="D24" s="209">
        <f>'Свод 2020'!AC34</f>
        <v>1615.65</v>
      </c>
    </row>
    <row r="25" spans="2:5" ht="28.5" customHeight="1">
      <c r="B25" s="154" t="s">
        <v>142</v>
      </c>
      <c r="C25" s="98" t="s">
        <v>143</v>
      </c>
      <c r="D25" s="215">
        <f>'Свод 2020'!AB34</f>
        <v>1116.58</v>
      </c>
    </row>
    <row r="26" spans="2:5" ht="21.75" customHeight="1">
      <c r="B26" s="202" t="s">
        <v>153</v>
      </c>
      <c r="C26" s="47" t="s">
        <v>59</v>
      </c>
      <c r="D26" s="203">
        <f>'Свод 2020'!AD34</f>
        <v>0</v>
      </c>
    </row>
    <row r="27" spans="2:5" ht="30.75" customHeight="1">
      <c r="B27" s="105" t="s">
        <v>144</v>
      </c>
      <c r="C27" s="164" t="s">
        <v>135</v>
      </c>
      <c r="D27" s="283">
        <f>'Свод 2020'!AE34</f>
        <v>90442.66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24" t="s">
        <v>191</v>
      </c>
      <c r="C31" s="94" t="s">
        <v>166</v>
      </c>
      <c r="D31" s="209">
        <f>'Свод 2020'!Y34</f>
        <v>268797.96000000002</v>
      </c>
    </row>
    <row r="32" spans="2:5" ht="15">
      <c r="B32" s="222" t="s">
        <v>243</v>
      </c>
      <c r="C32" s="164" t="s">
        <v>61</v>
      </c>
      <c r="D32" s="223">
        <f>'Свод 2020'!X34</f>
        <v>67552.850000000006</v>
      </c>
    </row>
    <row r="33" spans="2:5" ht="30">
      <c r="B33" s="175" t="s">
        <v>158</v>
      </c>
      <c r="C33" s="164" t="s">
        <v>166</v>
      </c>
      <c r="D33" s="176">
        <f>'Свод 2020'!AG34</f>
        <v>40196.74</v>
      </c>
    </row>
    <row r="34" spans="2:5" ht="30">
      <c r="B34" s="148" t="s">
        <v>133</v>
      </c>
      <c r="C34" s="53"/>
      <c r="D34" s="54"/>
    </row>
    <row r="35" spans="2:5" ht="59.25">
      <c r="B35" s="124" t="s">
        <v>182</v>
      </c>
      <c r="C35" s="94" t="s">
        <v>181</v>
      </c>
      <c r="D35" s="89">
        <f>'Свод 2020'!AI34</f>
        <v>114728.38</v>
      </c>
    </row>
    <row r="36" spans="2:5" ht="60.75" thickBot="1">
      <c r="B36" s="148" t="s">
        <v>162</v>
      </c>
      <c r="C36" s="151"/>
      <c r="D36" s="89"/>
    </row>
    <row r="37" spans="2:5" ht="15">
      <c r="B37" s="155" t="s">
        <v>129</v>
      </c>
      <c r="C37" s="156"/>
      <c r="D37" s="157"/>
    </row>
    <row r="38" spans="2:5" ht="120.75" thickBot="1">
      <c r="B38" s="158" t="s">
        <v>154</v>
      </c>
      <c r="C38" s="159" t="s">
        <v>139</v>
      </c>
      <c r="D38" s="160">
        <f>'Свод 2020'!AK34</f>
        <v>49966.78</v>
      </c>
    </row>
    <row r="39" spans="2:5" ht="15">
      <c r="B39" s="155" t="s">
        <v>130</v>
      </c>
      <c r="C39" s="161"/>
      <c r="D39" s="162"/>
    </row>
    <row r="40" spans="2:5" ht="45.75" thickBot="1">
      <c r="B40" s="158" t="s">
        <v>155</v>
      </c>
      <c r="C40" s="159" t="s">
        <v>139</v>
      </c>
      <c r="D40" s="163">
        <f>'Свод 2020'!AL34</f>
        <v>30850.240000000002</v>
      </c>
    </row>
    <row r="41" spans="2:5" ht="15">
      <c r="B41" s="155" t="s">
        <v>131</v>
      </c>
      <c r="C41" s="165"/>
      <c r="D41" s="166"/>
    </row>
    <row r="42" spans="2:5" ht="44.25" customHeight="1" thickBot="1">
      <c r="B42" s="158" t="s">
        <v>148</v>
      </c>
      <c r="C42" s="159" t="s">
        <v>139</v>
      </c>
      <c r="D42" s="163">
        <f>'Свод 2020'!AM34</f>
        <v>40755.019999999997</v>
      </c>
    </row>
    <row r="43" spans="2:5" ht="19.5" customHeight="1">
      <c r="B43" s="167" t="s">
        <v>149</v>
      </c>
      <c r="C43" s="150"/>
      <c r="D43" s="168"/>
    </row>
    <row r="44" spans="2:5" ht="120.75" thickBot="1">
      <c r="B44" s="158" t="s">
        <v>163</v>
      </c>
      <c r="C44" s="159" t="s">
        <v>139</v>
      </c>
      <c r="D44" s="104">
        <f>'Свод 2020'!AJ34</f>
        <v>45500.47</v>
      </c>
      <c r="E44" s="22">
        <f>D45-C8-C13</f>
        <v>12189.6899999999</v>
      </c>
    </row>
    <row r="45" spans="2:5" ht="15" thickBot="1">
      <c r="B45" s="229" t="s">
        <v>253</v>
      </c>
      <c r="C45" s="230"/>
      <c r="D45" s="231">
        <f>SUM(D19:D44)</f>
        <v>961333.65999999992</v>
      </c>
      <c r="E45" s="22"/>
    </row>
    <row r="46" spans="2:5" ht="15" customHeight="1">
      <c r="B46" s="169" t="s">
        <v>145</v>
      </c>
      <c r="C46" s="279" t="s">
        <v>146</v>
      </c>
      <c r="D46" s="280"/>
    </row>
    <row r="47" spans="2:5" ht="52.5" customHeight="1" thickBot="1">
      <c r="B47" s="153" t="s">
        <v>159</v>
      </c>
      <c r="C47" s="281"/>
      <c r="D47" s="282"/>
    </row>
    <row r="48" spans="2:5" ht="14.25">
      <c r="B48" s="269" t="s">
        <v>227</v>
      </c>
      <c r="C48" s="269"/>
      <c r="D48" s="269"/>
    </row>
    <row r="49" spans="2:4" ht="14.25">
      <c r="B49" s="121"/>
      <c r="C49" s="121"/>
      <c r="D49" s="121"/>
    </row>
    <row r="50" spans="2:4">
      <c r="B50" s="19"/>
      <c r="C50" s="19"/>
      <c r="D50" s="18"/>
    </row>
    <row r="51" spans="2:4" ht="20.25">
      <c r="B51" s="263" t="s">
        <v>87</v>
      </c>
      <c r="C51" s="263"/>
      <c r="D51" s="263"/>
    </row>
    <row r="52" spans="2:4" ht="20.25">
      <c r="B52" s="263" t="s">
        <v>50</v>
      </c>
      <c r="C52" s="263"/>
      <c r="D52" s="263"/>
    </row>
    <row r="53" spans="2:4" ht="20.25">
      <c r="B53" s="263" t="s">
        <v>49</v>
      </c>
      <c r="C53" s="263"/>
      <c r="D53" s="263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 ht="15.75">
      <c r="B56" s="102" t="s">
        <v>64</v>
      </c>
      <c r="C56" s="102"/>
    </row>
    <row r="62" spans="2:4" ht="20.25">
      <c r="B62" s="103"/>
    </row>
  </sheetData>
  <mergeCells count="24">
    <mergeCell ref="C14:D14"/>
    <mergeCell ref="B15:D15"/>
    <mergeCell ref="B53:D53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6:D47"/>
    <mergeCell ref="B48:D48"/>
    <mergeCell ref="B51:D51"/>
    <mergeCell ref="B52:D52"/>
    <mergeCell ref="B3:D3"/>
    <mergeCell ref="C5:D5"/>
    <mergeCell ref="C6:D6"/>
    <mergeCell ref="C7:D7"/>
  </mergeCells>
  <phoneticPr fontId="0" type="noConversion"/>
  <pageMargins left="0.24" right="0.24" top="0.17" bottom="0.3" header="0.17" footer="0.17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2" enableFormatConditionsCalculation="0">
    <tabColor rgb="FF92D050"/>
  </sheetPr>
  <dimension ref="B1:F60"/>
  <sheetViews>
    <sheetView topLeftCell="A35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367</v>
      </c>
      <c r="C3" s="264"/>
      <c r="D3" s="264"/>
    </row>
    <row r="4" spans="2:6" ht="15.75" thickBot="1">
      <c r="B4" s="57" t="s">
        <v>248</v>
      </c>
      <c r="C4" s="226">
        <f>'Свод 2020'!H35</f>
        <v>5414.4</v>
      </c>
      <c r="D4" s="216">
        <f>'Свод 2020'!J35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2020'!H35</f>
        <v>5414.4</v>
      </c>
      <c r="F5" s="22">
        <f>'Свод 2020'!J35</f>
        <v>20.88</v>
      </c>
    </row>
    <row r="6" spans="2:6" ht="30">
      <c r="B6" s="178" t="s">
        <v>321</v>
      </c>
      <c r="C6" s="272">
        <f>'Свод 2020'!K35</f>
        <v>287772.67</v>
      </c>
      <c r="D6" s="273"/>
    </row>
    <row r="7" spans="2:6" ht="15">
      <c r="B7" s="40" t="s">
        <v>322</v>
      </c>
      <c r="C7" s="261">
        <f>'Свод 2020'!L35</f>
        <v>1342225.44</v>
      </c>
      <c r="D7" s="262"/>
    </row>
    <row r="8" spans="2:6" ht="15">
      <c r="B8" s="40" t="s">
        <v>323</v>
      </c>
      <c r="C8" s="261">
        <f>'Свод 2020'!M35</f>
        <v>1299983.06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330015.04999999981</v>
      </c>
      <c r="D10" s="275"/>
      <c r="E10" s="22">
        <f>'Свод 2020'!O35</f>
        <v>330015.04999999981</v>
      </c>
      <c r="F10" s="125"/>
    </row>
    <row r="11" spans="2:6" ht="30">
      <c r="B11" s="178" t="s">
        <v>333</v>
      </c>
      <c r="C11" s="261">
        <f>'Свод 2020'!Q35</f>
        <v>12749.010000000002</v>
      </c>
      <c r="D11" s="262"/>
    </row>
    <row r="12" spans="2:6" ht="15">
      <c r="B12" s="40" t="s">
        <v>324</v>
      </c>
      <c r="C12" s="261">
        <f>'Свод 2020'!R35</f>
        <v>24782.41</v>
      </c>
      <c r="D12" s="262"/>
    </row>
    <row r="13" spans="2:6" ht="15">
      <c r="B13" s="40" t="s">
        <v>325</v>
      </c>
      <c r="C13" s="261">
        <f>'Свод 2020'!S35</f>
        <v>16551.21</v>
      </c>
      <c r="D13" s="262"/>
    </row>
    <row r="14" spans="2:6" ht="28.5">
      <c r="B14" s="41" t="s">
        <v>151</v>
      </c>
      <c r="C14" s="274">
        <f>C11+C12-C13</f>
        <v>20980.21</v>
      </c>
      <c r="D14" s="275"/>
      <c r="E14" s="22">
        <f>'Свод 2020'!T35</f>
        <v>20980.21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2020'!W35</f>
        <v>396983.81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2020'!U35</f>
        <v>4548.1000000000004</v>
      </c>
    </row>
    <row r="22" spans="2:5" ht="15">
      <c r="B22" s="46" t="s">
        <v>134</v>
      </c>
      <c r="C22" s="47" t="s">
        <v>60</v>
      </c>
      <c r="D22" s="48">
        <f>'Свод 2020'!V35</f>
        <v>4305.76</v>
      </c>
    </row>
    <row r="23" spans="2:5" ht="30">
      <c r="B23" s="46" t="s">
        <v>161</v>
      </c>
      <c r="C23" s="94" t="s">
        <v>138</v>
      </c>
      <c r="D23" s="48">
        <f>'Свод 2020'!AA35+'Свод 2020'!Z35</f>
        <v>61724.170000000006</v>
      </c>
    </row>
    <row r="24" spans="2:5" ht="28.5" customHeight="1">
      <c r="B24" s="124" t="s">
        <v>141</v>
      </c>
      <c r="C24" s="49" t="s">
        <v>140</v>
      </c>
      <c r="D24" s="209">
        <f>'Свод 2020'!AC35</f>
        <v>5572.58</v>
      </c>
    </row>
    <row r="25" spans="2:5" ht="28.5" customHeight="1">
      <c r="B25" s="154" t="s">
        <v>142</v>
      </c>
      <c r="C25" s="98" t="s">
        <v>143</v>
      </c>
      <c r="D25" s="215">
        <f>'Свод 2020'!AB35</f>
        <v>2598.91</v>
      </c>
    </row>
    <row r="26" spans="2:5" ht="21.75" customHeight="1">
      <c r="B26" s="202" t="s">
        <v>153</v>
      </c>
      <c r="C26" s="47" t="s">
        <v>59</v>
      </c>
      <c r="D26" s="203">
        <f>'Свод 2020'!AD35</f>
        <v>57176.06</v>
      </c>
    </row>
    <row r="27" spans="2:5" ht="30.75" customHeight="1">
      <c r="B27" s="105" t="s">
        <v>144</v>
      </c>
      <c r="C27" s="164" t="s">
        <v>135</v>
      </c>
      <c r="D27" s="283">
        <f>'Свод 2020'!AE35</f>
        <v>210511.87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2020'!AG35</f>
        <v>93560.83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2020'!AI35</f>
        <v>202065.41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2020'!AK35</f>
        <v>61724.160000000003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210">
        <f>'Свод 2020'!AL35</f>
        <v>54577.15</v>
      </c>
    </row>
    <row r="39" spans="2:5" ht="15">
      <c r="B39" s="155" t="s">
        <v>131</v>
      </c>
      <c r="C39" s="165"/>
      <c r="D39" s="166"/>
    </row>
    <row r="40" spans="2:5" ht="55.5" customHeight="1" thickBot="1">
      <c r="B40" s="158" t="s">
        <v>148</v>
      </c>
      <c r="C40" s="159" t="s">
        <v>139</v>
      </c>
      <c r="D40" s="225">
        <f>'Свод 2020'!AM35</f>
        <v>94860.29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2020'!AJ35</f>
        <v>105905.66</v>
      </c>
      <c r="E42" s="22">
        <f>D43-C8-C13</f>
        <v>39580.489999999721</v>
      </c>
    </row>
    <row r="43" spans="2:5" ht="15" thickBot="1">
      <c r="B43" s="229" t="s">
        <v>253</v>
      </c>
      <c r="C43" s="230"/>
      <c r="D43" s="231">
        <f>SUM(D19:D42)</f>
        <v>1356114.7599999998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19" right="0.18" top="0.24" bottom="0.17" header="0.17" footer="0.17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12">
    <tabColor rgb="FF91DDDD"/>
  </sheetPr>
  <dimension ref="B1:F60"/>
  <sheetViews>
    <sheetView topLeftCell="A38" workbookViewId="0"/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364</v>
      </c>
      <c r="C3" s="264"/>
      <c r="D3" s="264"/>
    </row>
    <row r="4" spans="2:6" ht="15.75" thickBot="1">
      <c r="B4" s="57" t="s">
        <v>249</v>
      </c>
      <c r="C4" s="226">
        <f>'Свод 2020'!H36</f>
        <v>4099.5</v>
      </c>
      <c r="D4" s="217">
        <f>'Свод 2020'!J36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2020'!H36</f>
        <v>4099.5</v>
      </c>
      <c r="F5" s="22">
        <f>'Свод 2020'!J36</f>
        <v>20.88</v>
      </c>
    </row>
    <row r="6" spans="2:6" ht="30">
      <c r="B6" s="178" t="s">
        <v>321</v>
      </c>
      <c r="C6" s="272">
        <f>'Свод 2020'!K36</f>
        <v>222194.52000000002</v>
      </c>
      <c r="D6" s="273"/>
    </row>
    <row r="7" spans="2:6" ht="15">
      <c r="B7" s="40" t="s">
        <v>322</v>
      </c>
      <c r="C7" s="261">
        <f>'Свод 2020'!L36</f>
        <v>972573.84</v>
      </c>
      <c r="D7" s="262"/>
    </row>
    <row r="8" spans="2:6" ht="15">
      <c r="B8" s="40" t="s">
        <v>323</v>
      </c>
      <c r="C8" s="261">
        <f>'Свод 2020'!M36</f>
        <v>979424.1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215344.25999999989</v>
      </c>
      <c r="D10" s="275"/>
      <c r="E10" s="22">
        <f>'Свод 2020'!O36</f>
        <v>215344.25999999989</v>
      </c>
      <c r="F10" s="125"/>
    </row>
    <row r="11" spans="2:6" ht="30">
      <c r="B11" s="178" t="s">
        <v>333</v>
      </c>
      <c r="C11" s="261">
        <f>'Свод 2020'!Q36</f>
        <v>-7493.4700000000084</v>
      </c>
      <c r="D11" s="262"/>
    </row>
    <row r="12" spans="2:6" ht="15">
      <c r="B12" s="40" t="s">
        <v>324</v>
      </c>
      <c r="C12" s="261">
        <f>'Свод 2020'!R36</f>
        <v>71893.509999999995</v>
      </c>
      <c r="D12" s="262"/>
    </row>
    <row r="13" spans="2:6" ht="15">
      <c r="B13" s="40" t="s">
        <v>368</v>
      </c>
      <c r="C13" s="261">
        <f>'Свод 2020'!S36</f>
        <v>64375.61</v>
      </c>
      <c r="D13" s="262"/>
    </row>
    <row r="14" spans="2:6" ht="28.5">
      <c r="B14" s="41" t="s">
        <v>151</v>
      </c>
      <c r="C14" s="274">
        <f>C11+C12-C13</f>
        <v>24.429999999985739</v>
      </c>
      <c r="D14" s="275"/>
      <c r="E14" s="22">
        <f>'Свод 2020'!T36</f>
        <v>24.429999999985739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2020'!W36</f>
        <v>300575.34000000003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2020'!U36</f>
        <v>3443.58</v>
      </c>
    </row>
    <row r="22" spans="2:5" ht="15">
      <c r="B22" s="46" t="s">
        <v>134</v>
      </c>
      <c r="C22" s="47" t="s">
        <v>60</v>
      </c>
      <c r="D22" s="48">
        <f>'Свод 2020'!V36</f>
        <v>19498.170000000002</v>
      </c>
    </row>
    <row r="23" spans="2:5" ht="30">
      <c r="B23" s="46" t="s">
        <v>161</v>
      </c>
      <c r="C23" s="94" t="s">
        <v>138</v>
      </c>
      <c r="D23" s="48">
        <f>'Свод 2020'!AA36+'Свод 2020'!Z36</f>
        <v>46734.3</v>
      </c>
    </row>
    <row r="24" spans="2:5" ht="28.5" customHeight="1">
      <c r="B24" s="124" t="s">
        <v>141</v>
      </c>
      <c r="C24" s="49" t="s">
        <v>140</v>
      </c>
      <c r="D24" s="209">
        <f>'Свод 2020'!AC36</f>
        <v>2523.04</v>
      </c>
    </row>
    <row r="25" spans="2:5" ht="28.5" customHeight="1">
      <c r="B25" s="154" t="s">
        <v>142</v>
      </c>
      <c r="C25" s="98" t="s">
        <v>143</v>
      </c>
      <c r="D25" s="215">
        <f>'Свод 2020'!AB36</f>
        <v>1967.76</v>
      </c>
    </row>
    <row r="26" spans="2:5" ht="21.75" customHeight="1">
      <c r="B26" s="202" t="s">
        <v>153</v>
      </c>
      <c r="C26" s="47" t="s">
        <v>59</v>
      </c>
      <c r="D26" s="203">
        <f>'Свод 2020'!AD36</f>
        <v>43290.720000000001</v>
      </c>
    </row>
    <row r="27" spans="2:5" ht="30.75" customHeight="1">
      <c r="B27" s="105" t="s">
        <v>144</v>
      </c>
      <c r="C27" s="164" t="s">
        <v>135</v>
      </c>
      <c r="D27" s="283">
        <f>'Свод 2020'!AE36</f>
        <v>159388.56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2020'!AG36</f>
        <v>70839.360000000001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2020'!AI36</f>
        <v>231317.94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2020'!AK36</f>
        <v>46734.3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2020'!AL36</f>
        <v>41322.959999999999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2020'!AM36</f>
        <v>71823.240000000005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2020'!AJ36</f>
        <v>80186.22</v>
      </c>
      <c r="E42" s="22">
        <f>D43-C8-C13</f>
        <v>75845.780000000013</v>
      </c>
    </row>
    <row r="43" spans="2:5" ht="15" thickBot="1">
      <c r="B43" s="229" t="s">
        <v>253</v>
      </c>
      <c r="C43" s="230"/>
      <c r="D43" s="231">
        <f>SUM(D19:D42)</f>
        <v>1119645.49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17" bottom="0.17" header="0.17" footer="0.17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50">
    <tabColor rgb="FF91DDDD"/>
  </sheetPr>
  <dimension ref="B1:F60"/>
  <sheetViews>
    <sheetView topLeftCell="A35" workbookViewId="0">
      <selection activeCell="D21" sqref="D21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369</v>
      </c>
      <c r="C3" s="264"/>
      <c r="D3" s="264"/>
    </row>
    <row r="4" spans="2:6" ht="15.75" thickBot="1">
      <c r="B4" s="57" t="s">
        <v>250</v>
      </c>
      <c r="C4" s="226">
        <f>'Свод 2020'!H37</f>
        <v>3116.6</v>
      </c>
      <c r="D4" s="216">
        <f>'Свод 2020'!J37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2020'!H37</f>
        <v>3116.6</v>
      </c>
      <c r="F5" s="22">
        <f>'Свод 2020'!J36</f>
        <v>20.88</v>
      </c>
    </row>
    <row r="6" spans="2:6" ht="30">
      <c r="B6" s="178" t="s">
        <v>321</v>
      </c>
      <c r="C6" s="272">
        <f>'Свод 2020'!K37</f>
        <v>305565.68000000005</v>
      </c>
      <c r="D6" s="273"/>
    </row>
    <row r="7" spans="2:6" ht="15">
      <c r="B7" s="40" t="s">
        <v>322</v>
      </c>
      <c r="C7" s="261">
        <f>'Свод 2020'!L37</f>
        <v>747645.72</v>
      </c>
      <c r="D7" s="262"/>
    </row>
    <row r="8" spans="2:6" ht="15">
      <c r="B8" s="40" t="s">
        <v>323</v>
      </c>
      <c r="C8" s="261">
        <f>'Свод 2020'!M37</f>
        <v>743069.91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310141.48999999987</v>
      </c>
      <c r="D10" s="275"/>
      <c r="E10" s="22">
        <f>'Свод 2020'!O37</f>
        <v>310141.48999999987</v>
      </c>
      <c r="F10" s="125"/>
    </row>
    <row r="11" spans="2:6" ht="30">
      <c r="B11" s="178" t="s">
        <v>333</v>
      </c>
      <c r="C11" s="261">
        <f>'Свод 2020'!Q37</f>
        <v>32050.22</v>
      </c>
      <c r="D11" s="262"/>
    </row>
    <row r="12" spans="2:6" ht="15">
      <c r="B12" s="40" t="s">
        <v>324</v>
      </c>
      <c r="C12" s="261">
        <f>'Свод 2020'!R37</f>
        <v>60449.270000000004</v>
      </c>
      <c r="D12" s="262"/>
    </row>
    <row r="13" spans="2:6" ht="15">
      <c r="B13" s="40" t="s">
        <v>325</v>
      </c>
      <c r="C13" s="261">
        <f>'Свод 2020'!S37</f>
        <v>57986.270000000004</v>
      </c>
      <c r="D13" s="262"/>
    </row>
    <row r="14" spans="2:6" ht="28.5">
      <c r="B14" s="41" t="s">
        <v>151</v>
      </c>
      <c r="C14" s="274">
        <f>C11+C12-C13</f>
        <v>34513.22</v>
      </c>
      <c r="D14" s="275"/>
      <c r="E14" s="22">
        <f>'Свод 2020'!T37</f>
        <v>34513.22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2020'!W37</f>
        <v>228509.11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2020'!U37</f>
        <v>2617.94</v>
      </c>
    </row>
    <row r="22" spans="2:5" ht="15">
      <c r="B22" s="46" t="s">
        <v>134</v>
      </c>
      <c r="C22" s="47" t="s">
        <v>60</v>
      </c>
      <c r="D22" s="48">
        <f>'Свод 2020'!V37</f>
        <v>58781.590000000004</v>
      </c>
    </row>
    <row r="23" spans="2:5" ht="30">
      <c r="B23" s="46" t="s">
        <v>161</v>
      </c>
      <c r="C23" s="94" t="s">
        <v>138</v>
      </c>
      <c r="D23" s="48">
        <f>'Свод 2020'!AA37+'Свод 2020'!Z37</f>
        <v>35529.229999999996</v>
      </c>
    </row>
    <row r="24" spans="2:5" ht="28.5" customHeight="1">
      <c r="B24" s="124" t="s">
        <v>141</v>
      </c>
      <c r="C24" s="49" t="s">
        <v>140</v>
      </c>
      <c r="D24" s="209">
        <f>'Свод 2020'!AC37</f>
        <v>8079.6100000000006</v>
      </c>
    </row>
    <row r="25" spans="2:5" ht="28.5" customHeight="1">
      <c r="B25" s="154" t="s">
        <v>142</v>
      </c>
      <c r="C25" s="98" t="s">
        <v>143</v>
      </c>
      <c r="D25" s="215">
        <f>'Свод 2020'!AB37</f>
        <v>1495.97</v>
      </c>
    </row>
    <row r="26" spans="2:5" ht="21.75" customHeight="1">
      <c r="B26" s="202" t="s">
        <v>153</v>
      </c>
      <c r="C26" s="47" t="s">
        <v>59</v>
      </c>
      <c r="D26" s="203">
        <f>'Свод 2020'!AD37</f>
        <v>32911.300000000003</v>
      </c>
    </row>
    <row r="27" spans="2:5" ht="30.75" customHeight="1">
      <c r="B27" s="105" t="s">
        <v>144</v>
      </c>
      <c r="C27" s="164" t="s">
        <v>135</v>
      </c>
      <c r="D27" s="283">
        <f>'Свод 2020'!AE37</f>
        <v>121173.41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2020'!AG37</f>
        <v>53854.85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2020'!AI37</f>
        <v>127914.51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2020'!AK37</f>
        <v>35529.24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2020'!AL37</f>
        <v>31415.33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2020'!AM37</f>
        <v>54602.83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2020'!AJ37</f>
        <v>60960.7</v>
      </c>
      <c r="E42" s="22">
        <f>D43-C8-C13</f>
        <v>52319.439999999726</v>
      </c>
    </row>
    <row r="43" spans="2:5" ht="15.75" thickBot="1">
      <c r="B43" s="229" t="s">
        <v>253</v>
      </c>
      <c r="C43" s="227"/>
      <c r="D43" s="228">
        <f>SUM(D19:D42)</f>
        <v>853375.61999999976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33" header="0.17" footer="0.17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51">
    <tabColor rgb="FF91DDDD"/>
  </sheetPr>
  <dimension ref="B1:F60"/>
  <sheetViews>
    <sheetView topLeftCell="A36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370</v>
      </c>
      <c r="C3" s="264"/>
      <c r="D3" s="264"/>
    </row>
    <row r="4" spans="2:6" ht="15.75" thickBot="1">
      <c r="B4" s="57" t="s">
        <v>251</v>
      </c>
      <c r="C4" s="226">
        <f>'Свод 2020'!H38</f>
        <v>3101.6</v>
      </c>
      <c r="D4" s="216">
        <f>'Свод 2020'!J38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2020'!H38</f>
        <v>3101.6</v>
      </c>
      <c r="F5" s="22">
        <f>'Свод 2020'!J38</f>
        <v>20.88</v>
      </c>
    </row>
    <row r="6" spans="2:6" ht="30">
      <c r="B6" s="178" t="s">
        <v>321</v>
      </c>
      <c r="C6" s="272">
        <f>'Свод 2020'!K38</f>
        <v>344607.68999999994</v>
      </c>
      <c r="D6" s="273"/>
    </row>
    <row r="7" spans="2:6" ht="15">
      <c r="B7" s="40" t="s">
        <v>322</v>
      </c>
      <c r="C7" s="261">
        <f>'Свод 2020'!L38</f>
        <v>777212.04</v>
      </c>
      <c r="D7" s="262"/>
    </row>
    <row r="8" spans="2:6" ht="15">
      <c r="B8" s="40" t="s">
        <v>323</v>
      </c>
      <c r="C8" s="261">
        <f>'Свод 2020'!M38</f>
        <v>757642.47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364177.26</v>
      </c>
      <c r="D10" s="275"/>
      <c r="E10" s="22">
        <f>'Свод 2020'!O38</f>
        <v>364177.26</v>
      </c>
      <c r="F10" s="125"/>
    </row>
    <row r="11" spans="2:6" ht="30">
      <c r="B11" s="178" t="s">
        <v>333</v>
      </c>
      <c r="C11" s="261">
        <f>'Свод 2020'!Q38</f>
        <v>2051.8599999999988</v>
      </c>
      <c r="D11" s="262"/>
    </row>
    <row r="12" spans="2:6" ht="15">
      <c r="B12" s="40" t="s">
        <v>324</v>
      </c>
      <c r="C12" s="261">
        <f>'Свод 2020'!R38</f>
        <v>13229.869999999999</v>
      </c>
      <c r="D12" s="262"/>
    </row>
    <row r="13" spans="2:6" ht="15">
      <c r="B13" s="40" t="s">
        <v>325</v>
      </c>
      <c r="C13" s="261">
        <f>'Свод 2020'!S38</f>
        <v>12578.01</v>
      </c>
      <c r="D13" s="262"/>
    </row>
    <row r="14" spans="2:6" ht="28.5">
      <c r="B14" s="41" t="s">
        <v>151</v>
      </c>
      <c r="C14" s="274">
        <f>C11+C12-C13</f>
        <v>2703.7199999999975</v>
      </c>
      <c r="D14" s="275"/>
      <c r="E14" s="22">
        <f>'Свод 2020'!T38</f>
        <v>2703.7199999999975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2020'!W38</f>
        <v>227409.31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2020'!U38</f>
        <v>2605.34</v>
      </c>
    </row>
    <row r="22" spans="2:5" ht="15">
      <c r="B22" s="46" t="s">
        <v>134</v>
      </c>
      <c r="C22" s="47" t="s">
        <v>60</v>
      </c>
      <c r="D22" s="48">
        <f>'Свод 2020'!V38</f>
        <v>17891.650000000001</v>
      </c>
    </row>
    <row r="23" spans="2:5" ht="30">
      <c r="B23" s="46" t="s">
        <v>161</v>
      </c>
      <c r="C23" s="94" t="s">
        <v>138</v>
      </c>
      <c r="D23" s="48">
        <f>'Свод 2020'!AA38+'Свод 2020'!Z38</f>
        <v>35358.230000000003</v>
      </c>
    </row>
    <row r="24" spans="2:5" ht="28.5" customHeight="1">
      <c r="B24" s="124" t="s">
        <v>141</v>
      </c>
      <c r="C24" s="49" t="s">
        <v>140</v>
      </c>
      <c r="D24" s="209">
        <f>'Свод 2020'!AC38</f>
        <v>4952.38</v>
      </c>
    </row>
    <row r="25" spans="2:5" ht="28.5" customHeight="1">
      <c r="B25" s="154" t="s">
        <v>142</v>
      </c>
      <c r="C25" s="98" t="s">
        <v>143</v>
      </c>
      <c r="D25" s="215">
        <f>'Свод 2020'!AB38</f>
        <v>1488.77</v>
      </c>
    </row>
    <row r="26" spans="2:5" ht="21.75" customHeight="1">
      <c r="B26" s="202" t="s">
        <v>153</v>
      </c>
      <c r="C26" s="47" t="s">
        <v>59</v>
      </c>
      <c r="D26" s="203">
        <f>'Свод 2020'!AD38</f>
        <v>32752.9</v>
      </c>
    </row>
    <row r="27" spans="2:5" ht="30.75" customHeight="1">
      <c r="B27" s="105" t="s">
        <v>144</v>
      </c>
      <c r="C27" s="164" t="s">
        <v>135</v>
      </c>
      <c r="D27" s="283">
        <f>'Свод 2020'!AE38</f>
        <v>120590.21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2020'!AG38</f>
        <v>53595.65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2020'!AI38</f>
        <v>138554.71000000002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2020'!AK38</f>
        <v>35358.239999999998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2020'!AL38</f>
        <v>31264.13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2020'!AM38</f>
        <v>54340.03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2020'!AJ38</f>
        <v>60667.3</v>
      </c>
      <c r="E42" s="22">
        <f>D43-C8-C13</f>
        <v>46608.370000000235</v>
      </c>
    </row>
    <row r="43" spans="2:5" ht="15" thickBot="1">
      <c r="B43" s="229" t="s">
        <v>253</v>
      </c>
      <c r="C43" s="230"/>
      <c r="D43" s="231">
        <f>SUM(D19:D42)</f>
        <v>816828.85000000021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17" bottom="0.34" header="0.17" footer="0.17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106">
    <tabColor rgb="FF91DDDD"/>
  </sheetPr>
  <dimension ref="B1:F60"/>
  <sheetViews>
    <sheetView topLeftCell="A35" workbookViewId="0">
      <selection activeCell="G53" sqref="G53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371</v>
      </c>
      <c r="C3" s="264"/>
      <c r="D3" s="264"/>
    </row>
    <row r="4" spans="2:6" ht="15.75" thickBot="1">
      <c r="B4" s="57" t="s">
        <v>252</v>
      </c>
      <c r="C4" s="226">
        <f>'Свод 2020'!H39</f>
        <v>1393.9</v>
      </c>
      <c r="D4" s="217">
        <f>'Свод 2020'!J39</f>
        <v>33.19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2020'!H39</f>
        <v>1393.9</v>
      </c>
      <c r="F5" s="22">
        <f>'Свод 2020'!J39</f>
        <v>33.19</v>
      </c>
    </row>
    <row r="6" spans="2:6" ht="30">
      <c r="B6" s="178" t="s">
        <v>321</v>
      </c>
      <c r="C6" s="272">
        <f>'Свод 2020'!K39</f>
        <v>157844.56999999995</v>
      </c>
      <c r="D6" s="273"/>
    </row>
    <row r="7" spans="2:6" ht="15">
      <c r="B7" s="40" t="s">
        <v>322</v>
      </c>
      <c r="C7" s="261">
        <f>'Свод 2020'!L39</f>
        <v>543612</v>
      </c>
      <c r="D7" s="262"/>
    </row>
    <row r="8" spans="2:6" ht="15">
      <c r="B8" s="40" t="s">
        <v>323</v>
      </c>
      <c r="C8" s="261">
        <f>'Свод 2020'!M39</f>
        <v>513493.79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187962.77999999997</v>
      </c>
      <c r="D10" s="275"/>
      <c r="E10" s="22">
        <f>'Свод 2020'!O39</f>
        <v>187962.77999999997</v>
      </c>
      <c r="F10" s="125"/>
    </row>
    <row r="11" spans="2:6" ht="30">
      <c r="B11" s="178" t="s">
        <v>333</v>
      </c>
      <c r="C11" s="261">
        <f>'Свод 2020'!Q39</f>
        <v>0</v>
      </c>
      <c r="D11" s="262"/>
    </row>
    <row r="12" spans="2:6" ht="15">
      <c r="B12" s="40" t="s">
        <v>324</v>
      </c>
      <c r="C12" s="261">
        <f>'Свод 2020'!R39</f>
        <v>0</v>
      </c>
      <c r="D12" s="262"/>
    </row>
    <row r="13" spans="2:6" ht="15">
      <c r="B13" s="40" t="s">
        <v>325</v>
      </c>
      <c r="C13" s="261">
        <f>'Свод 2020'!S39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2020'!T39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v>161079.07999999999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2020'!U39</f>
        <v>1170.8800000000001</v>
      </c>
    </row>
    <row r="22" spans="2:5" ht="15">
      <c r="B22" s="46" t="s">
        <v>134</v>
      </c>
      <c r="C22" s="47" t="s">
        <v>60</v>
      </c>
      <c r="D22" s="48">
        <f>'Свод 2020'!V39</f>
        <v>28719.02</v>
      </c>
    </row>
    <row r="23" spans="2:5" ht="30">
      <c r="B23" s="46" t="s">
        <v>161</v>
      </c>
      <c r="C23" s="94" t="s">
        <v>138</v>
      </c>
      <c r="D23" s="48">
        <v>36464.42</v>
      </c>
    </row>
    <row r="24" spans="2:5" ht="28.5" customHeight="1">
      <c r="B24" s="124" t="s">
        <v>141</v>
      </c>
      <c r="C24" s="49" t="s">
        <v>140</v>
      </c>
      <c r="D24" s="209">
        <f>'Свод 2020'!AC39</f>
        <v>501.8</v>
      </c>
    </row>
    <row r="25" spans="2:5" ht="28.5" customHeight="1">
      <c r="B25" s="154" t="s">
        <v>142</v>
      </c>
      <c r="C25" s="98" t="s">
        <v>143</v>
      </c>
      <c r="D25" s="215">
        <f>'Свод 2020'!AB39</f>
        <v>669.07</v>
      </c>
    </row>
    <row r="26" spans="2:5" ht="21.75" customHeight="1">
      <c r="B26" s="202" t="s">
        <v>153</v>
      </c>
      <c r="C26" s="47" t="s">
        <v>59</v>
      </c>
      <c r="D26" s="203">
        <f>'Свод 2020'!AD39</f>
        <v>14719.58</v>
      </c>
    </row>
    <row r="27" spans="2:5" ht="30.75" customHeight="1">
      <c r="B27" s="105" t="s">
        <v>144</v>
      </c>
      <c r="C27" s="164" t="s">
        <v>135</v>
      </c>
      <c r="D27" s="283">
        <f>'Свод 2020'!AE39</f>
        <v>85139.41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2020'!AG39</f>
        <v>36798.959999999999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2020'!AI39</f>
        <v>78783.23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2020'!AK39</f>
        <v>41482.46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2020'!AL39</f>
        <v>20573.96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2020'!AM39</f>
        <v>37300.76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2020'!AJ39</f>
        <v>42820.61</v>
      </c>
    </row>
    <row r="43" spans="2:5" ht="15.75" thickBot="1">
      <c r="B43" s="229" t="s">
        <v>253</v>
      </c>
      <c r="C43" s="227"/>
      <c r="D43" s="231">
        <f>SUM(D19:D42)</f>
        <v>586223.24</v>
      </c>
      <c r="E43" s="22">
        <f>D43-C8</f>
        <v>72729.450000000012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3">
    <tabColor rgb="FF91DDDD"/>
  </sheetPr>
  <dimension ref="B1:F60"/>
  <sheetViews>
    <sheetView topLeftCell="A35" workbookViewId="0">
      <selection activeCell="C20" sqref="C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372</v>
      </c>
      <c r="C3" s="264"/>
      <c r="D3" s="264"/>
    </row>
    <row r="4" spans="2:6" ht="15.75" thickBot="1">
      <c r="B4" s="57" t="s">
        <v>254</v>
      </c>
      <c r="C4" s="226">
        <f>'Свод 2020'!H40</f>
        <v>2246</v>
      </c>
      <c r="D4" s="217">
        <f>'Свод 2020'!J40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2020'!H40</f>
        <v>2246</v>
      </c>
      <c r="F5" s="22">
        <f>'Свод 2020'!J40</f>
        <v>20.88</v>
      </c>
    </row>
    <row r="6" spans="2:6" ht="30">
      <c r="B6" s="178" t="s">
        <v>321</v>
      </c>
      <c r="C6" s="272">
        <f>'Свод 2020'!K40</f>
        <v>174170.51</v>
      </c>
      <c r="D6" s="273"/>
    </row>
    <row r="7" spans="2:6" ht="15">
      <c r="B7" s="40" t="s">
        <v>322</v>
      </c>
      <c r="C7" s="261">
        <f>'Свод 2020'!L40</f>
        <v>545244</v>
      </c>
      <c r="D7" s="262"/>
    </row>
    <row r="8" spans="2:6" ht="15">
      <c r="B8" s="40" t="s">
        <v>323</v>
      </c>
      <c r="C8" s="261">
        <f>'Свод 2020'!M40</f>
        <v>610436.51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108978</v>
      </c>
      <c r="D10" s="275"/>
      <c r="E10" s="22">
        <f>'Свод 2020'!O40</f>
        <v>108978</v>
      </c>
      <c r="F10" s="125"/>
    </row>
    <row r="11" spans="2:6" ht="30">
      <c r="B11" s="178" t="s">
        <v>333</v>
      </c>
      <c r="C11" s="261">
        <f>'Свод 2020'!Q40</f>
        <v>37289.550000000003</v>
      </c>
      <c r="D11" s="262"/>
    </row>
    <row r="12" spans="2:6" ht="15">
      <c r="B12" s="40" t="s">
        <v>324</v>
      </c>
      <c r="C12" s="261">
        <f>'Свод 2020'!R40</f>
        <v>29156.9</v>
      </c>
      <c r="D12" s="262"/>
    </row>
    <row r="13" spans="2:6" ht="15">
      <c r="B13" s="40" t="s">
        <v>325</v>
      </c>
      <c r="C13" s="261">
        <f>'Свод 2020'!S40</f>
        <v>11230.39</v>
      </c>
      <c r="D13" s="262"/>
    </row>
    <row r="14" spans="2:6" ht="28.5">
      <c r="B14" s="41" t="s">
        <v>151</v>
      </c>
      <c r="C14" s="274">
        <f>C11+C12-C13</f>
        <v>55216.060000000012</v>
      </c>
      <c r="D14" s="275"/>
      <c r="E14" s="22">
        <f>'Свод 2020'!T40</f>
        <v>55216.060000000012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2020'!W40</f>
        <v>164676.72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2020'!U40</f>
        <v>1886.64</v>
      </c>
    </row>
    <row r="22" spans="2:5" ht="15">
      <c r="B22" s="46" t="s">
        <v>134</v>
      </c>
      <c r="C22" s="47" t="s">
        <v>60</v>
      </c>
      <c r="D22" s="48">
        <f>'Свод 2020'!V40</f>
        <v>41242.230000000003</v>
      </c>
    </row>
    <row r="23" spans="2:5" ht="30">
      <c r="B23" s="46" t="s">
        <v>161</v>
      </c>
      <c r="C23" s="94" t="s">
        <v>138</v>
      </c>
      <c r="D23" s="48">
        <f>'Свод 2020'!AA40+'Свод 2020'!Z40</f>
        <v>25604.400000000001</v>
      </c>
    </row>
    <row r="24" spans="2:5" ht="28.5" customHeight="1">
      <c r="B24" s="124" t="s">
        <v>141</v>
      </c>
      <c r="C24" s="49" t="s">
        <v>140</v>
      </c>
      <c r="D24" s="209">
        <f>'Свод 2020'!AC40</f>
        <v>2107.16</v>
      </c>
    </row>
    <row r="25" spans="2:5" ht="28.5" customHeight="1">
      <c r="B25" s="154" t="s">
        <v>142</v>
      </c>
      <c r="C25" s="98" t="s">
        <v>143</v>
      </c>
      <c r="D25" s="215">
        <f>'Свод 2020'!AB40</f>
        <v>1078.08</v>
      </c>
    </row>
    <row r="26" spans="2:5" ht="21.75" customHeight="1">
      <c r="B26" s="202" t="s">
        <v>153</v>
      </c>
      <c r="C26" s="47" t="s">
        <v>59</v>
      </c>
      <c r="D26" s="203">
        <f>'Свод 2020'!AD40</f>
        <v>23717.759999999998</v>
      </c>
    </row>
    <row r="27" spans="2:5" ht="30.75" customHeight="1">
      <c r="B27" s="105" t="s">
        <v>144</v>
      </c>
      <c r="C27" s="164" t="s">
        <v>135</v>
      </c>
      <c r="D27" s="283">
        <f>'Свод 2020'!AE40</f>
        <v>87324.479999999996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2020'!AG40</f>
        <v>38810.879999999997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2020'!AI40</f>
        <v>83820.72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2020'!AK40</f>
        <v>25604.400000000001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2020'!AL40</f>
        <v>22639.68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2020'!AM40</f>
        <v>63741.919999999998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2020'!AJ40</f>
        <v>43931.76</v>
      </c>
      <c r="E42" s="22">
        <f>D43-C8-C13</f>
        <v>4519.9300000000658</v>
      </c>
    </row>
    <row r="43" spans="2:5" ht="15" thickBot="1">
      <c r="B43" s="229" t="s">
        <v>253</v>
      </c>
      <c r="C43" s="230"/>
      <c r="D43" s="231">
        <f>SUM(D19:D42)</f>
        <v>626186.83000000007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D27:D30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25" right="0.24" top="0.17" bottom="0.17" header="0.18" footer="0.17"/>
  <pageSetup paperSize="9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">
    <tabColor rgb="FFFFC000"/>
  </sheetPr>
  <dimension ref="B1:F60"/>
  <sheetViews>
    <sheetView topLeftCell="A38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358</v>
      </c>
      <c r="C3" s="264"/>
      <c r="D3" s="264"/>
    </row>
    <row r="4" spans="2:6" ht="15.75" thickBot="1">
      <c r="B4" s="57" t="s">
        <v>255</v>
      </c>
      <c r="C4" s="226">
        <f>'Свод 2020'!H41</f>
        <v>4409.2</v>
      </c>
      <c r="D4" s="217">
        <f>'Свод 2020'!J41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2020'!H41</f>
        <v>4409.2</v>
      </c>
      <c r="F5" s="22">
        <f>'Свод 2020'!J40</f>
        <v>20.88</v>
      </c>
    </row>
    <row r="6" spans="2:6" ht="30">
      <c r="B6" s="178" t="s">
        <v>321</v>
      </c>
      <c r="C6" s="272">
        <f>'Свод 2020'!K41</f>
        <v>215025.73999999982</v>
      </c>
      <c r="D6" s="273"/>
    </row>
    <row r="7" spans="2:6" ht="15">
      <c r="B7" s="40" t="s">
        <v>322</v>
      </c>
      <c r="C7" s="261">
        <f>'Свод 2020'!L41</f>
        <v>1104769.8</v>
      </c>
      <c r="D7" s="262"/>
    </row>
    <row r="8" spans="2:6" ht="15">
      <c r="B8" s="40" t="s">
        <v>323</v>
      </c>
      <c r="C8" s="261">
        <f>'Свод 2020'!M41</f>
        <v>1090736.94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229058.59999999986</v>
      </c>
      <c r="D10" s="275"/>
      <c r="E10" s="22">
        <f>'Свод 2020'!O41</f>
        <v>229058.59999999986</v>
      </c>
      <c r="F10" s="125"/>
    </row>
    <row r="11" spans="2:6" ht="30">
      <c r="B11" s="178" t="s">
        <v>333</v>
      </c>
      <c r="C11" s="261">
        <f>'Свод 2020'!Q41</f>
        <v>5337.8099999999977</v>
      </c>
      <c r="D11" s="262"/>
    </row>
    <row r="12" spans="2:6" ht="15">
      <c r="B12" s="40" t="s">
        <v>324</v>
      </c>
      <c r="C12" s="261">
        <f>'Свод 2020'!R41</f>
        <v>32480.41</v>
      </c>
      <c r="D12" s="262"/>
    </row>
    <row r="13" spans="2:6" ht="15">
      <c r="B13" s="40" t="s">
        <v>325</v>
      </c>
      <c r="C13" s="261">
        <f>'Свод 2020'!S41</f>
        <v>23910.67</v>
      </c>
      <c r="D13" s="262"/>
    </row>
    <row r="14" spans="2:6" ht="28.5">
      <c r="B14" s="41" t="s">
        <v>151</v>
      </c>
      <c r="C14" s="274">
        <f>C11+C12-C13</f>
        <v>13907.550000000003</v>
      </c>
      <c r="D14" s="275"/>
      <c r="E14" s="22">
        <f>'Свод 2020'!T41</f>
        <v>13907.550000000003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2020'!W41</f>
        <v>323282.53999999998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2020'!U41</f>
        <v>3703.73</v>
      </c>
    </row>
    <row r="22" spans="2:5" ht="15">
      <c r="B22" s="46" t="s">
        <v>134</v>
      </c>
      <c r="C22" s="47" t="s">
        <v>60</v>
      </c>
      <c r="D22" s="48">
        <f>'Свод 2020'!V41</f>
        <v>55762.75</v>
      </c>
    </row>
    <row r="23" spans="2:5" ht="30">
      <c r="B23" s="46" t="s">
        <v>161</v>
      </c>
      <c r="C23" s="94" t="s">
        <v>138</v>
      </c>
      <c r="D23" s="48">
        <f>'Свод 2020'!AA41+'Свод 2020'!Z41</f>
        <v>50264.88</v>
      </c>
    </row>
    <row r="24" spans="2:5" ht="28.5" customHeight="1">
      <c r="B24" s="124" t="s">
        <v>141</v>
      </c>
      <c r="C24" s="49" t="s">
        <v>140</v>
      </c>
      <c r="D24" s="209">
        <f>'Свод 2020'!AC41</f>
        <v>3423.91</v>
      </c>
    </row>
    <row r="25" spans="2:5" ht="28.5" customHeight="1">
      <c r="B25" s="154" t="s">
        <v>142</v>
      </c>
      <c r="C25" s="98" t="s">
        <v>143</v>
      </c>
      <c r="D25" s="215">
        <f>'Свод 2020'!AB41</f>
        <v>2116.42</v>
      </c>
    </row>
    <row r="26" spans="2:5" ht="21.75" customHeight="1">
      <c r="B26" s="202" t="s">
        <v>153</v>
      </c>
      <c r="C26" s="47" t="s">
        <v>59</v>
      </c>
      <c r="D26" s="203">
        <f>'Свод 2020'!AD41</f>
        <v>46561.15</v>
      </c>
    </row>
    <row r="27" spans="2:5" ht="30.75" customHeight="1">
      <c r="B27" s="105" t="s">
        <v>144</v>
      </c>
      <c r="C27" s="164" t="s">
        <v>135</v>
      </c>
      <c r="D27" s="283">
        <f>'Свод 2020'!AE41</f>
        <v>171429.7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2020'!AG41</f>
        <v>76190.98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2020'!AI41</f>
        <v>164551.34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2020'!AK41</f>
        <v>50264.88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2020'!AL41</f>
        <v>44444.74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2020'!AM41</f>
        <v>77249.179999999993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2020'!AJ41</f>
        <v>86243.95</v>
      </c>
      <c r="E42" s="22">
        <f>D43-C8-C13</f>
        <v>40842.539999999964</v>
      </c>
    </row>
    <row r="43" spans="2:5" ht="15" thickBot="1">
      <c r="B43" s="229" t="s">
        <v>253</v>
      </c>
      <c r="C43" s="230"/>
      <c r="D43" s="231">
        <f>SUM(D19:D42)</f>
        <v>1155490.1499999999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24" bottom="0.27" header="0.17" footer="0.17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3">
    <tabColor rgb="FFFFFFCC"/>
  </sheetPr>
  <dimension ref="B1:F60"/>
  <sheetViews>
    <sheetView topLeftCell="A38" workbookViewId="0">
      <selection activeCell="F19" sqref="F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339</v>
      </c>
      <c r="C3" s="264"/>
      <c r="D3" s="264"/>
    </row>
    <row r="4" spans="2:6" ht="15.75" thickBot="1">
      <c r="B4" s="57" t="s">
        <v>213</v>
      </c>
      <c r="C4" s="226">
        <f>'Свод 2020'!H6</f>
        <v>2720.4</v>
      </c>
      <c r="D4" s="217">
        <f>'Свод 2020'!J6</f>
        <v>20.88</v>
      </c>
    </row>
    <row r="5" spans="2:6" ht="31.5" customHeight="1" thickBot="1">
      <c r="B5" s="36" t="s">
        <v>54</v>
      </c>
      <c r="C5" s="270" t="s">
        <v>150</v>
      </c>
      <c r="D5" s="271"/>
    </row>
    <row r="6" spans="2:6" ht="30">
      <c r="B6" s="178" t="s">
        <v>321</v>
      </c>
      <c r="C6" s="272">
        <f>'Свод 2020'!K6</f>
        <v>202604.91999999969</v>
      </c>
      <c r="D6" s="273"/>
    </row>
    <row r="7" spans="2:6" ht="15">
      <c r="B7" s="40" t="s">
        <v>322</v>
      </c>
      <c r="C7" s="261">
        <f>'Свод 2020'!L6</f>
        <v>647526.62</v>
      </c>
      <c r="D7" s="262"/>
    </row>
    <row r="8" spans="2:6" ht="15">
      <c r="B8" s="40" t="s">
        <v>323</v>
      </c>
      <c r="C8" s="261">
        <f>'Свод 2020'!M6</f>
        <v>677226.39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172905.14999999967</v>
      </c>
      <c r="D10" s="275"/>
      <c r="E10" s="22">
        <f>'Свод 2020'!O6</f>
        <v>172905.14999999967</v>
      </c>
      <c r="F10" s="125"/>
    </row>
    <row r="11" spans="2:6" ht="30">
      <c r="B11" s="178" t="s">
        <v>333</v>
      </c>
      <c r="C11" s="261">
        <f>'Свод 2020'!Q6</f>
        <v>14762.259999999995</v>
      </c>
      <c r="D11" s="262"/>
    </row>
    <row r="12" spans="2:6" ht="15">
      <c r="B12" s="40" t="s">
        <v>324</v>
      </c>
      <c r="C12" s="261">
        <f>'Свод 2020'!R6</f>
        <v>51766.81</v>
      </c>
      <c r="D12" s="262"/>
    </row>
    <row r="13" spans="2:6" ht="15">
      <c r="B13" s="40" t="s">
        <v>325</v>
      </c>
      <c r="C13" s="261">
        <f>'Свод 2020'!S6</f>
        <v>49905.64</v>
      </c>
      <c r="D13" s="262"/>
    </row>
    <row r="14" spans="2:6" ht="28.5">
      <c r="B14" s="41" t="s">
        <v>151</v>
      </c>
      <c r="C14" s="274">
        <f>C11+C12-C13</f>
        <v>16623.429999999993</v>
      </c>
      <c r="D14" s="275"/>
      <c r="E14" s="22">
        <f>'Свод 2020'!T6</f>
        <v>16623.429999999993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</f>
        <v>199459.73</v>
      </c>
    </row>
    <row r="20" spans="2:5" ht="15.75" thickBot="1">
      <c r="B20" s="158" t="s">
        <v>152</v>
      </c>
      <c r="C20" s="97" t="s">
        <v>143</v>
      </c>
      <c r="D20" s="284"/>
      <c r="E20" t="s">
        <v>167</v>
      </c>
    </row>
    <row r="21" spans="2:5" ht="30">
      <c r="B21" s="105" t="s">
        <v>160</v>
      </c>
      <c r="C21" s="106" t="s">
        <v>157</v>
      </c>
      <c r="D21" s="170">
        <f>'Свод 2020'!U6</f>
        <v>2285.14</v>
      </c>
    </row>
    <row r="22" spans="2:5" ht="15">
      <c r="B22" s="46" t="s">
        <v>134</v>
      </c>
      <c r="C22" s="47" t="s">
        <v>60</v>
      </c>
      <c r="D22" s="48">
        <f>'Свод 2020'!V6</f>
        <v>14630.15</v>
      </c>
    </row>
    <row r="23" spans="2:5" ht="30">
      <c r="B23" s="46" t="s">
        <v>161</v>
      </c>
      <c r="C23" s="94" t="s">
        <v>138</v>
      </c>
      <c r="D23" s="48">
        <f>'Свод 2020'!AA6+'Свод 2020'!Z6</f>
        <v>31012.57</v>
      </c>
    </row>
    <row r="24" spans="2:5" ht="28.5" customHeight="1">
      <c r="B24" s="124" t="s">
        <v>141</v>
      </c>
      <c r="C24" s="49" t="s">
        <v>140</v>
      </c>
      <c r="D24" s="209">
        <f>'Свод 2020'!AC6</f>
        <v>2039.6599999999999</v>
      </c>
    </row>
    <row r="25" spans="2:5" ht="28.5" customHeight="1">
      <c r="B25" s="154" t="s">
        <v>142</v>
      </c>
      <c r="C25" s="98" t="s">
        <v>143</v>
      </c>
      <c r="D25" s="215">
        <f>'Свод 2020'!AB6</f>
        <v>1305.79</v>
      </c>
    </row>
    <row r="26" spans="2:5" ht="21.75" customHeight="1">
      <c r="B26" s="202" t="s">
        <v>153</v>
      </c>
      <c r="C26" s="47" t="s">
        <v>169</v>
      </c>
      <c r="D26" s="203">
        <f>'Свод 2020'!AD6</f>
        <v>28727.42</v>
      </c>
    </row>
    <row r="27" spans="2:5" ht="30.75" customHeight="1">
      <c r="B27" s="105" t="s">
        <v>144</v>
      </c>
      <c r="C27" s="164" t="s">
        <v>135</v>
      </c>
      <c r="D27" s="283">
        <f>'Свод 2020'!AE6</f>
        <v>105769.15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</f>
        <v>47008.51</v>
      </c>
    </row>
    <row r="32" spans="2:5" ht="30">
      <c r="B32" s="148" t="s">
        <v>133</v>
      </c>
      <c r="C32" s="53"/>
      <c r="D32" s="54"/>
    </row>
    <row r="33" spans="2:5" ht="59.25">
      <c r="B33" s="124" t="s">
        <v>174</v>
      </c>
      <c r="C33" s="94" t="s">
        <v>175</v>
      </c>
      <c r="D33" s="89">
        <f>'Свод 2020'!AI6</f>
        <v>375448.33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</f>
        <v>31012.560000000001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</f>
        <v>27421.63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</f>
        <v>47661.41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</f>
        <v>82947.01999999999</v>
      </c>
      <c r="E42" s="22">
        <f>D43-C8-C13</f>
        <v>269597.04000000004</v>
      </c>
    </row>
    <row r="43" spans="2:5" ht="15" thickBot="1">
      <c r="B43" s="229" t="s">
        <v>253</v>
      </c>
      <c r="C43" s="230"/>
      <c r="D43" s="231">
        <f>SUM(D19:D42)</f>
        <v>996729.07000000007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3" bottom="0.18" header="0.21" footer="0.17"/>
  <pageSetup paperSize="9" orientation="portrait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B1:F60"/>
  <sheetViews>
    <sheetView topLeftCell="A38" workbookViewId="0">
      <selection activeCell="A63" sqref="A63:IV63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373</v>
      </c>
      <c r="C3" s="264"/>
      <c r="D3" s="264"/>
    </row>
    <row r="4" spans="2:6" ht="15.75" thickBot="1">
      <c r="B4" s="57" t="s">
        <v>256</v>
      </c>
      <c r="C4" s="226">
        <f>'Свод 2020'!H42</f>
        <v>2688.6</v>
      </c>
      <c r="D4" s="217">
        <f>'Свод 2020'!J42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2020'!H42</f>
        <v>2688.6</v>
      </c>
      <c r="F5" s="22">
        <f>'Свод 2020'!J42</f>
        <v>20.88</v>
      </c>
    </row>
    <row r="6" spans="2:6" ht="30">
      <c r="B6" s="178" t="s">
        <v>321</v>
      </c>
      <c r="C6" s="272">
        <f>'Свод 2020'!K42</f>
        <v>145897.19000000006</v>
      </c>
      <c r="D6" s="273"/>
    </row>
    <row r="7" spans="2:6" ht="15">
      <c r="B7" s="40" t="s">
        <v>322</v>
      </c>
      <c r="C7" s="261">
        <f>'Свод 2020'!L42</f>
        <v>650904.84</v>
      </c>
      <c r="D7" s="262"/>
    </row>
    <row r="8" spans="2:6" ht="15">
      <c r="B8" s="40" t="s">
        <v>323</v>
      </c>
      <c r="C8" s="261">
        <f>'Свод 2020'!M42</f>
        <v>634401.94999999995</v>
      </c>
      <c r="D8" s="262"/>
    </row>
    <row r="9" spans="2:6" ht="15">
      <c r="B9" s="40" t="s">
        <v>127</v>
      </c>
      <c r="C9" s="261">
        <f>'Свод 2020'!N42</f>
        <v>0</v>
      </c>
      <c r="D9" s="262"/>
    </row>
    <row r="10" spans="2:6" ht="28.5">
      <c r="B10" s="41" t="s">
        <v>147</v>
      </c>
      <c r="C10" s="274">
        <f>C6+C7-C8+C9</f>
        <v>162400.08000000007</v>
      </c>
      <c r="D10" s="275"/>
      <c r="E10" s="22">
        <f>'Свод 2020'!O42</f>
        <v>162400.08000000007</v>
      </c>
      <c r="F10" s="125"/>
    </row>
    <row r="11" spans="2:6" ht="30">
      <c r="B11" s="178" t="s">
        <v>333</v>
      </c>
      <c r="C11" s="261">
        <f>'Свод 2020'!Q42</f>
        <v>22787.79</v>
      </c>
      <c r="D11" s="262"/>
    </row>
    <row r="12" spans="2:6" ht="15">
      <c r="B12" s="40" t="s">
        <v>324</v>
      </c>
      <c r="C12" s="261">
        <f>'Свод 2020'!R42</f>
        <v>39602.380000000005</v>
      </c>
      <c r="D12" s="262"/>
    </row>
    <row r="13" spans="2:6" ht="15">
      <c r="B13" s="40" t="s">
        <v>325</v>
      </c>
      <c r="C13" s="261">
        <f>'Свод 2020'!S42</f>
        <v>19614.04</v>
      </c>
      <c r="D13" s="262"/>
    </row>
    <row r="14" spans="2:6" ht="28.5">
      <c r="B14" s="41" t="s">
        <v>151</v>
      </c>
      <c r="C14" s="274">
        <f>C11+C12-C13</f>
        <v>42776.130000000005</v>
      </c>
      <c r="D14" s="275"/>
      <c r="E14" s="22">
        <f>'Свод 2020'!T42</f>
        <v>42776.130000000005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2020'!W42</f>
        <v>197128.15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2020'!U42</f>
        <v>2258.42</v>
      </c>
    </row>
    <row r="22" spans="2:5" ht="15">
      <c r="B22" s="46" t="s">
        <v>134</v>
      </c>
      <c r="C22" s="47" t="s">
        <v>60</v>
      </c>
      <c r="D22" s="48">
        <f>'Свод 2020'!V42</f>
        <v>60403.24</v>
      </c>
    </row>
    <row r="23" spans="2:5" ht="30">
      <c r="B23" s="46" t="s">
        <v>161</v>
      </c>
      <c r="C23" s="94" t="s">
        <v>138</v>
      </c>
      <c r="D23" s="48">
        <f>'Свод 2020'!AA42+'Свод 2020'!Z42</f>
        <v>30650.030000000002</v>
      </c>
    </row>
    <row r="24" spans="2:5" ht="28.5" customHeight="1">
      <c r="B24" s="124" t="s">
        <v>141</v>
      </c>
      <c r="C24" s="49" t="s">
        <v>140</v>
      </c>
      <c r="D24" s="209">
        <f>'Свод 2020'!AC42</f>
        <v>2083.34</v>
      </c>
    </row>
    <row r="25" spans="2:5" ht="28.5" customHeight="1">
      <c r="B25" s="154" t="s">
        <v>142</v>
      </c>
      <c r="C25" s="98" t="s">
        <v>143</v>
      </c>
      <c r="D25" s="215">
        <f>'Свод 2020'!AB42</f>
        <v>1290.53</v>
      </c>
    </row>
    <row r="26" spans="2:5" ht="21.75" customHeight="1">
      <c r="B26" s="202" t="s">
        <v>153</v>
      </c>
      <c r="C26" s="47" t="s">
        <v>59</v>
      </c>
      <c r="D26" s="203">
        <f>'Свод 2020'!AD42</f>
        <v>28391.62</v>
      </c>
    </row>
    <row r="27" spans="2:5" ht="30.75" customHeight="1">
      <c r="B27" s="105" t="s">
        <v>144</v>
      </c>
      <c r="C27" s="164" t="s">
        <v>135</v>
      </c>
      <c r="D27" s="283">
        <f>'Свод 2020'!AE42</f>
        <v>104532.77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2020'!AG42</f>
        <v>46459.01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2020'!AI42</f>
        <v>100338.55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2020'!AK42</f>
        <v>30650.04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2020'!AL42</f>
        <v>27101.09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2020'!AM42</f>
        <v>47104.27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2020'!AJ42</f>
        <v>52589.02</v>
      </c>
      <c r="E42" s="22">
        <f>D43-C8-C13</f>
        <v>76964.090000000229</v>
      </c>
    </row>
    <row r="43" spans="2:5" ht="15" thickBot="1">
      <c r="B43" s="229" t="s">
        <v>253</v>
      </c>
      <c r="C43" s="230"/>
      <c r="D43" s="231">
        <f>SUM(D19:D42)</f>
        <v>730980.08000000019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8:D8"/>
    <mergeCell ref="C9:D9"/>
    <mergeCell ref="B1:D1"/>
    <mergeCell ref="B2:D2"/>
    <mergeCell ref="B3:D3"/>
    <mergeCell ref="C5:D5"/>
    <mergeCell ref="C6:D6"/>
    <mergeCell ref="C7:D7"/>
  </mergeCells>
  <phoneticPr fontId="0" type="noConversion"/>
  <pageMargins left="0.24" right="0.23" top="0.17" bottom="0.17" header="0.17" footer="0.17"/>
  <pageSetup paperSize="9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CFF"/>
  </sheetPr>
  <dimension ref="B1:H62"/>
  <sheetViews>
    <sheetView topLeftCell="A35" workbookViewId="0"/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329</v>
      </c>
      <c r="C3" s="264"/>
      <c r="D3" s="264"/>
    </row>
    <row r="4" spans="2:6" ht="15.75" thickBot="1">
      <c r="B4" s="57" t="s">
        <v>257</v>
      </c>
      <c r="C4" s="216">
        <f>'Свод 2020'!H43</f>
        <v>1587.5</v>
      </c>
      <c r="D4" s="217" t="str">
        <f>'Свод 2020'!J43</f>
        <v>32,28/21,73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2020'!H43</f>
        <v>1587.5</v>
      </c>
      <c r="F5" s="22" t="str">
        <f>'Свод 2020'!J43</f>
        <v>32,28/21,73</v>
      </c>
    </row>
    <row r="6" spans="2:6" ht="30">
      <c r="B6" s="178" t="s">
        <v>321</v>
      </c>
      <c r="C6" s="272">
        <f>'Свод 2020'!K43</f>
        <v>65216.71</v>
      </c>
      <c r="D6" s="273"/>
    </row>
    <row r="7" spans="2:6" ht="15">
      <c r="B7" s="40" t="s">
        <v>322</v>
      </c>
      <c r="C7" s="261">
        <f>'Свод 2020'!L43</f>
        <v>564825.84</v>
      </c>
      <c r="D7" s="262"/>
    </row>
    <row r="8" spans="2:6" ht="15">
      <c r="B8" s="40" t="s">
        <v>323</v>
      </c>
      <c r="C8" s="261">
        <f>'Свод 2020'!M43</f>
        <v>564196.36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65846.189999999944</v>
      </c>
      <c r="D10" s="275"/>
      <c r="E10" s="22">
        <f>'Свод 2020'!O43</f>
        <v>65846.189999999944</v>
      </c>
      <c r="F10" s="125"/>
    </row>
    <row r="11" spans="2:6" ht="30">
      <c r="B11" s="178" t="s">
        <v>204</v>
      </c>
      <c r="C11" s="261">
        <f>'Свод 2020'!Q43</f>
        <v>0</v>
      </c>
      <c r="D11" s="262"/>
    </row>
    <row r="12" spans="2:6" ht="15">
      <c r="B12" s="40" t="s">
        <v>324</v>
      </c>
      <c r="C12" s="261">
        <f>'Свод 2020'!R43</f>
        <v>0</v>
      </c>
      <c r="D12" s="262"/>
    </row>
    <row r="13" spans="2:6" ht="15">
      <c r="B13" s="40" t="s">
        <v>325</v>
      </c>
      <c r="C13" s="261">
        <f>'Свод 2020'!S43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2020'!T43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8" ht="15">
      <c r="B17" s="43" t="s">
        <v>56</v>
      </c>
      <c r="C17" s="276" t="s">
        <v>57</v>
      </c>
      <c r="D17" s="278"/>
    </row>
    <row r="18" spans="2:8" ht="30.75" thickBot="1">
      <c r="B18" s="147" t="s">
        <v>132</v>
      </c>
      <c r="C18" s="277"/>
      <c r="D18" s="278"/>
    </row>
    <row r="19" spans="2:8" ht="89.25">
      <c r="B19" s="171" t="s">
        <v>156</v>
      </c>
      <c r="C19" s="150" t="s">
        <v>169</v>
      </c>
      <c r="D19" s="283">
        <f>'Свод 2020'!W43</f>
        <v>116395.5</v>
      </c>
    </row>
    <row r="20" spans="2:8" ht="15.75" thickBot="1">
      <c r="B20" s="158" t="s">
        <v>152</v>
      </c>
      <c r="C20" s="97" t="s">
        <v>143</v>
      </c>
      <c r="D20" s="284"/>
      <c r="E20" t="s">
        <v>180</v>
      </c>
    </row>
    <row r="21" spans="2:8" ht="30">
      <c r="B21" s="105" t="s">
        <v>160</v>
      </c>
      <c r="C21" s="106" t="s">
        <v>157</v>
      </c>
      <c r="D21" s="170">
        <f>'Свод 2020'!U43</f>
        <v>1333.5</v>
      </c>
    </row>
    <row r="22" spans="2:8" ht="15">
      <c r="B22" s="46" t="s">
        <v>134</v>
      </c>
      <c r="C22" s="47" t="s">
        <v>60</v>
      </c>
      <c r="D22" s="48">
        <f>'Свод 2020'!V43</f>
        <v>2476.5</v>
      </c>
    </row>
    <row r="23" spans="2:8" ht="30">
      <c r="B23" s="46" t="s">
        <v>161</v>
      </c>
      <c r="C23" s="94" t="s">
        <v>138</v>
      </c>
      <c r="D23" s="48">
        <f>'Свод 2020'!AA43+'Свод 2020'!Z43</f>
        <v>23655.5</v>
      </c>
    </row>
    <row r="24" spans="2:8" ht="28.5" customHeight="1">
      <c r="B24" s="124" t="s">
        <v>141</v>
      </c>
      <c r="C24" s="49" t="s">
        <v>140</v>
      </c>
      <c r="D24" s="209">
        <f>'Свод 2020'!AC43</f>
        <v>1348.8400000000001</v>
      </c>
    </row>
    <row r="25" spans="2:8" ht="28.5" customHeight="1">
      <c r="B25" s="154" t="s">
        <v>142</v>
      </c>
      <c r="C25" s="98" t="s">
        <v>143</v>
      </c>
      <c r="D25" s="215">
        <f>'Свод 2020'!AB43</f>
        <v>762</v>
      </c>
    </row>
    <row r="26" spans="2:8" ht="21.75" customHeight="1">
      <c r="B26" s="202" t="s">
        <v>153</v>
      </c>
      <c r="C26" s="47" t="s">
        <v>59</v>
      </c>
      <c r="D26" s="203">
        <f>'Свод 2020'!AD43</f>
        <v>16764</v>
      </c>
    </row>
    <row r="27" spans="2:8" ht="30.75" customHeight="1" thickBot="1">
      <c r="B27" s="105" t="s">
        <v>144</v>
      </c>
      <c r="C27" s="164" t="s">
        <v>135</v>
      </c>
      <c r="D27" s="283">
        <f>'Свод 2020'!AE43</f>
        <v>61722</v>
      </c>
    </row>
    <row r="28" spans="2:8" ht="30.75" hidden="1" customHeight="1">
      <c r="B28" s="96" t="s">
        <v>4</v>
      </c>
      <c r="C28" s="97" t="s">
        <v>5</v>
      </c>
      <c r="D28" s="283"/>
    </row>
    <row r="29" spans="2:8" ht="15" customHeight="1">
      <c r="B29" s="291" t="s">
        <v>136</v>
      </c>
      <c r="C29" s="293" t="s">
        <v>137</v>
      </c>
      <c r="D29" s="283"/>
    </row>
    <row r="30" spans="2:8" ht="15" customHeight="1">
      <c r="B30" s="292"/>
      <c r="C30" s="294"/>
      <c r="D30" s="283"/>
    </row>
    <row r="31" spans="2:8" ht="15">
      <c r="B31" s="202" t="s">
        <v>328</v>
      </c>
      <c r="C31" s="94" t="s">
        <v>330</v>
      </c>
      <c r="D31" s="209">
        <f>'Свод 2020'!AF43</f>
        <v>0</v>
      </c>
      <c r="E31" t="s">
        <v>331</v>
      </c>
    </row>
    <row r="32" spans="2:8" ht="15">
      <c r="B32" s="202" t="s">
        <v>191</v>
      </c>
      <c r="C32" s="164" t="s">
        <v>166</v>
      </c>
      <c r="D32" s="209">
        <f>'Свод 2020'!Y43</f>
        <v>151452.72</v>
      </c>
      <c r="H32" s="258"/>
    </row>
    <row r="33" spans="2:5" ht="30">
      <c r="B33" s="175" t="s">
        <v>158</v>
      </c>
      <c r="C33" s="164" t="s">
        <v>166</v>
      </c>
      <c r="D33" s="176">
        <f>'Свод 2020'!AG43</f>
        <v>27432</v>
      </c>
    </row>
    <row r="34" spans="2:5" ht="30">
      <c r="B34" s="148" t="s">
        <v>133</v>
      </c>
      <c r="C34" s="53"/>
      <c r="D34" s="54"/>
    </row>
    <row r="35" spans="2:5" ht="59.25">
      <c r="B35" s="124" t="s">
        <v>182</v>
      </c>
      <c r="C35" s="94" t="s">
        <v>181</v>
      </c>
      <c r="D35" s="89">
        <f>'Свод 2020'!AI43</f>
        <v>66798.5</v>
      </c>
    </row>
    <row r="36" spans="2:5" ht="60.75" thickBot="1">
      <c r="B36" s="148" t="s">
        <v>162</v>
      </c>
      <c r="C36" s="151"/>
      <c r="D36" s="89"/>
    </row>
    <row r="37" spans="2:5" ht="15">
      <c r="B37" s="155" t="s">
        <v>129</v>
      </c>
      <c r="C37" s="156"/>
      <c r="D37" s="157"/>
    </row>
    <row r="38" spans="2:5" ht="120.75" thickBot="1">
      <c r="B38" s="158" t="s">
        <v>154</v>
      </c>
      <c r="C38" s="159" t="s">
        <v>139</v>
      </c>
      <c r="D38" s="160">
        <f>'Свод 2020'!AK43</f>
        <v>34099.5</v>
      </c>
    </row>
    <row r="39" spans="2:5" ht="15">
      <c r="B39" s="155" t="s">
        <v>130</v>
      </c>
      <c r="C39" s="161"/>
      <c r="D39" s="162"/>
    </row>
    <row r="40" spans="2:5" ht="45.75" thickBot="1">
      <c r="B40" s="158" t="s">
        <v>155</v>
      </c>
      <c r="C40" s="159" t="s">
        <v>139</v>
      </c>
      <c r="D40" s="163">
        <f>'Свод 2020'!AL43</f>
        <v>16192.5</v>
      </c>
    </row>
    <row r="41" spans="2:5" ht="15">
      <c r="B41" s="155" t="s">
        <v>131</v>
      </c>
      <c r="C41" s="165"/>
      <c r="D41" s="166"/>
    </row>
    <row r="42" spans="2:5" ht="44.25" customHeight="1" thickBot="1">
      <c r="B42" s="158" t="s">
        <v>148</v>
      </c>
      <c r="C42" s="159" t="s">
        <v>139</v>
      </c>
      <c r="D42" s="163">
        <f>'Свод 2020'!AM43</f>
        <v>27813</v>
      </c>
    </row>
    <row r="43" spans="2:5" ht="19.5" customHeight="1">
      <c r="B43" s="167" t="s">
        <v>149</v>
      </c>
      <c r="C43" s="150"/>
      <c r="D43" s="168"/>
    </row>
    <row r="44" spans="2:5" ht="120.75" thickBot="1">
      <c r="B44" s="158" t="s">
        <v>163</v>
      </c>
      <c r="C44" s="159" t="s">
        <v>139</v>
      </c>
      <c r="D44" s="104">
        <f>'Свод 2020'!AJ43</f>
        <v>45065.5</v>
      </c>
      <c r="E44" s="22">
        <f>D45-C7-C13</f>
        <v>28485.720000000088</v>
      </c>
    </row>
    <row r="45" spans="2:5" ht="15" thickBot="1">
      <c r="B45" s="229" t="s">
        <v>253</v>
      </c>
      <c r="C45" s="230"/>
      <c r="D45" s="231">
        <f>SUM(D19:D44)</f>
        <v>593311.56000000006</v>
      </c>
    </row>
    <row r="46" spans="2:5" ht="15" customHeight="1">
      <c r="B46" s="169" t="s">
        <v>145</v>
      </c>
      <c r="C46" s="279" t="s">
        <v>146</v>
      </c>
      <c r="D46" s="280"/>
    </row>
    <row r="47" spans="2:5" ht="52.5" customHeight="1" thickBot="1">
      <c r="B47" s="153" t="s">
        <v>159</v>
      </c>
      <c r="C47" s="281"/>
      <c r="D47" s="282"/>
    </row>
    <row r="48" spans="2:5" ht="14.25">
      <c r="B48" s="269" t="s">
        <v>227</v>
      </c>
      <c r="C48" s="269"/>
      <c r="D48" s="269"/>
    </row>
    <row r="49" spans="2:4" ht="14.25">
      <c r="B49" s="121"/>
      <c r="C49" s="121"/>
      <c r="D49" s="121"/>
    </row>
    <row r="50" spans="2:4">
      <c r="B50" s="19"/>
      <c r="C50" s="19"/>
      <c r="D50" s="18"/>
    </row>
    <row r="51" spans="2:4" ht="20.25">
      <c r="B51" s="263" t="s">
        <v>87</v>
      </c>
      <c r="C51" s="263"/>
      <c r="D51" s="263"/>
    </row>
    <row r="52" spans="2:4" ht="20.25">
      <c r="B52" s="263" t="s">
        <v>50</v>
      </c>
      <c r="C52" s="263"/>
      <c r="D52" s="263"/>
    </row>
    <row r="53" spans="2:4" ht="20.25">
      <c r="B53" s="263" t="s">
        <v>49</v>
      </c>
      <c r="C53" s="263"/>
      <c r="D53" s="263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 ht="15.75">
      <c r="B56" s="102" t="s">
        <v>64</v>
      </c>
      <c r="C56" s="102"/>
    </row>
    <row r="62" spans="2:4" ht="20.25">
      <c r="B62" s="103"/>
    </row>
  </sheetData>
  <mergeCells count="26">
    <mergeCell ref="C46:D47"/>
    <mergeCell ref="B48:D48"/>
    <mergeCell ref="B51:D51"/>
    <mergeCell ref="B16:D16"/>
    <mergeCell ref="C17:C18"/>
    <mergeCell ref="D17:D18"/>
    <mergeCell ref="D19:D20"/>
    <mergeCell ref="D27:D30"/>
    <mergeCell ref="B29:B30"/>
    <mergeCell ref="C29:C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2:D52"/>
    <mergeCell ref="B53:D53"/>
    <mergeCell ref="C6:D6"/>
    <mergeCell ref="C7:D7"/>
    <mergeCell ref="C8:D8"/>
    <mergeCell ref="C9:D9"/>
  </mergeCells>
  <pageMargins left="0.25" right="0.25" top="0.75" bottom="0.75" header="0.3" footer="0.3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topLeftCell="A38" workbookViewId="0">
      <selection activeCell="D21" sqref="D21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349</v>
      </c>
      <c r="C3" s="264"/>
      <c r="D3" s="264"/>
    </row>
    <row r="4" spans="2:6" ht="15.75" thickBot="1">
      <c r="B4" s="57" t="s">
        <v>258</v>
      </c>
      <c r="C4" s="226">
        <f>'Свод 2020'!H44</f>
        <v>2810.3</v>
      </c>
      <c r="D4" s="216">
        <f>'Свод 2020'!J44</f>
        <v>24.2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2020'!H44</f>
        <v>2810.3</v>
      </c>
      <c r="F5" s="22">
        <f>'Свод 2020'!J44</f>
        <v>24.2</v>
      </c>
    </row>
    <row r="6" spans="2:6" ht="30">
      <c r="B6" s="178" t="s">
        <v>321</v>
      </c>
      <c r="C6" s="272">
        <f>'Свод 2020'!K44</f>
        <v>158933.4700000002</v>
      </c>
      <c r="D6" s="273"/>
    </row>
    <row r="7" spans="2:6" ht="15">
      <c r="B7" s="40" t="s">
        <v>322</v>
      </c>
      <c r="C7" s="261">
        <f>'Свод 2020'!L44</f>
        <v>620294.40000000002</v>
      </c>
      <c r="D7" s="262"/>
    </row>
    <row r="8" spans="2:6" ht="15">
      <c r="B8" s="40" t="s">
        <v>323</v>
      </c>
      <c r="C8" s="261">
        <f>'Свод 2020'!M44</f>
        <v>596540.51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182687.36000000022</v>
      </c>
      <c r="D10" s="275"/>
      <c r="E10" s="22">
        <f>'Свод 2020'!O44</f>
        <v>182687.36000000022</v>
      </c>
      <c r="F10" s="125"/>
    </row>
    <row r="11" spans="2:6" ht="30">
      <c r="B11" s="178" t="s">
        <v>333</v>
      </c>
      <c r="C11" s="261">
        <f>'Свод 2020'!Q44</f>
        <v>26397.25</v>
      </c>
      <c r="D11" s="262"/>
    </row>
    <row r="12" spans="2:6" ht="15">
      <c r="B12" s="40" t="s">
        <v>324</v>
      </c>
      <c r="C12" s="261">
        <f>'Свод 2020'!R44</f>
        <v>204633.69</v>
      </c>
      <c r="D12" s="262"/>
    </row>
    <row r="13" spans="2:6" ht="15">
      <c r="B13" s="40" t="s">
        <v>325</v>
      </c>
      <c r="C13" s="261">
        <f>'Свод 2020'!S44</f>
        <v>203911.11</v>
      </c>
      <c r="D13" s="262"/>
    </row>
    <row r="14" spans="2:6" ht="28.5">
      <c r="B14" s="41" t="s">
        <v>151</v>
      </c>
      <c r="C14" s="274">
        <f>C11+C12-C13</f>
        <v>27119.830000000016</v>
      </c>
      <c r="D14" s="275"/>
      <c r="E14" s="22">
        <f>'Свод 2020'!T44</f>
        <v>27119.830000000016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2020'!W44</f>
        <v>206051.20000000001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2020'!U44</f>
        <v>2360.65</v>
      </c>
    </row>
    <row r="22" spans="2:5" ht="15">
      <c r="B22" s="46" t="s">
        <v>134</v>
      </c>
      <c r="C22" s="47" t="s">
        <v>60</v>
      </c>
      <c r="D22" s="48">
        <f>'Свод 2020'!V44</f>
        <v>4384.07</v>
      </c>
    </row>
    <row r="23" spans="2:5" ht="30">
      <c r="B23" s="46" t="s">
        <v>161</v>
      </c>
      <c r="C23" s="94" t="s">
        <v>138</v>
      </c>
      <c r="D23" s="48">
        <f>'Свод 2020'!AA44+'Свод 2020'!Z44</f>
        <v>32037.420000000002</v>
      </c>
    </row>
    <row r="24" spans="2:5" ht="28.5" customHeight="1">
      <c r="B24" s="124" t="s">
        <v>141</v>
      </c>
      <c r="C24" s="49" t="s">
        <v>140</v>
      </c>
      <c r="D24" s="209">
        <f>'Свод 2020'!AC44</f>
        <v>1011.71</v>
      </c>
    </row>
    <row r="25" spans="2:5" ht="28.5" customHeight="1">
      <c r="B25" s="154" t="s">
        <v>142</v>
      </c>
      <c r="C25" s="98" t="s">
        <v>143</v>
      </c>
      <c r="D25" s="215">
        <f>'Свод 2020'!AB44</f>
        <v>1348.94</v>
      </c>
    </row>
    <row r="26" spans="2:5" ht="21.75" customHeight="1">
      <c r="B26" s="202" t="s">
        <v>153</v>
      </c>
      <c r="C26" s="47" t="s">
        <v>59</v>
      </c>
      <c r="D26" s="203">
        <f>'Свод 2020'!AD44</f>
        <v>29676.77</v>
      </c>
    </row>
    <row r="27" spans="2:5" ht="30.75" customHeight="1">
      <c r="B27" s="105" t="s">
        <v>144</v>
      </c>
      <c r="C27" s="164" t="s">
        <v>135</v>
      </c>
      <c r="D27" s="283">
        <f>'Свод 2020'!AE44</f>
        <v>192561.76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2020'!AG44</f>
        <v>48561.98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2020'!AI44</f>
        <v>104880.4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2020'!AK44</f>
        <v>60365.24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2020'!AL44</f>
        <v>28665.06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2020'!AM44</f>
        <v>49236.46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2020'!AJ44</f>
        <v>54969.47</v>
      </c>
      <c r="E42" s="22">
        <f>D43-C8-C13</f>
        <v>15659.510000000009</v>
      </c>
    </row>
    <row r="43" spans="2:5" ht="15.75" thickBot="1">
      <c r="B43" s="229" t="s">
        <v>253</v>
      </c>
      <c r="C43" s="227"/>
      <c r="D43" s="228">
        <f>SUM(D19:D42)</f>
        <v>816111.13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57" spans="2:4">
      <c r="C57" s="14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ageMargins left="0" right="0" top="0" bottom="0" header="0.31496062992125984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105">
    <tabColor rgb="FFFFC000"/>
  </sheetPr>
  <dimension ref="B1:F60"/>
  <sheetViews>
    <sheetView topLeftCell="A38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374</v>
      </c>
      <c r="C3" s="264"/>
      <c r="D3" s="264"/>
    </row>
    <row r="4" spans="2:6" ht="15.75" thickBot="1">
      <c r="B4" s="57" t="s">
        <v>259</v>
      </c>
      <c r="C4" s="226">
        <f>'Свод 2020'!H45</f>
        <v>1979.4</v>
      </c>
      <c r="D4" s="217">
        <f>'Свод 2020'!J45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2020'!H45</f>
        <v>1979.4</v>
      </c>
      <c r="F5" s="22">
        <f>'Свод 2020'!J45</f>
        <v>21.73</v>
      </c>
    </row>
    <row r="6" spans="2:6" ht="30">
      <c r="B6" s="178" t="s">
        <v>321</v>
      </c>
      <c r="C6" s="272">
        <f>'Свод 2020'!K45</f>
        <v>49548.749999999767</v>
      </c>
      <c r="D6" s="273"/>
    </row>
    <row r="7" spans="2:6" ht="15">
      <c r="B7" s="40" t="s">
        <v>322</v>
      </c>
      <c r="C7" s="261">
        <f>'Свод 2020'!L45</f>
        <v>516148.92</v>
      </c>
      <c r="D7" s="262"/>
    </row>
    <row r="8" spans="2:6" ht="15">
      <c r="B8" s="40" t="s">
        <v>323</v>
      </c>
      <c r="C8" s="261">
        <f>'Свод 2020'!M45</f>
        <v>516275.81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49421.859999999695</v>
      </c>
      <c r="D10" s="275"/>
      <c r="E10" s="22">
        <f>'Свод 2020'!O45</f>
        <v>49421.859999999695</v>
      </c>
      <c r="F10" s="125"/>
    </row>
    <row r="11" spans="2:6" ht="30">
      <c r="B11" s="178" t="s">
        <v>333</v>
      </c>
      <c r="C11" s="261">
        <f>'Свод 2020'!Q45</f>
        <v>0</v>
      </c>
      <c r="D11" s="262"/>
    </row>
    <row r="12" spans="2:6" ht="15">
      <c r="B12" s="40" t="s">
        <v>324</v>
      </c>
      <c r="C12" s="261">
        <f>'Свод 2020'!R45</f>
        <v>0</v>
      </c>
      <c r="D12" s="262"/>
    </row>
    <row r="13" spans="2:6" ht="15">
      <c r="B13" s="40" t="s">
        <v>325</v>
      </c>
      <c r="C13" s="261">
        <f>'Свод 2020'!S45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2020'!T45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2020'!W45</f>
        <v>145129.60999999999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2020'!U45</f>
        <v>1662.7</v>
      </c>
    </row>
    <row r="22" spans="2:5" ht="15">
      <c r="B22" s="46" t="s">
        <v>134</v>
      </c>
      <c r="C22" s="47" t="s">
        <v>60</v>
      </c>
      <c r="D22" s="48">
        <f>'Свод 2020'!V45</f>
        <v>11001.8</v>
      </c>
    </row>
    <row r="23" spans="2:5" ht="30">
      <c r="B23" s="46" t="s">
        <v>161</v>
      </c>
      <c r="C23" s="94" t="s">
        <v>138</v>
      </c>
      <c r="D23" s="48">
        <f>'Свод 2020'!AA45+'Свод 2020'!Z45</f>
        <v>22565.17</v>
      </c>
    </row>
    <row r="24" spans="2:5" ht="28.5" customHeight="1">
      <c r="B24" s="124" t="s">
        <v>141</v>
      </c>
      <c r="C24" s="49" t="s">
        <v>140</v>
      </c>
      <c r="D24" s="209">
        <f>'Свод 2020'!AC45</f>
        <v>712.58</v>
      </c>
    </row>
    <row r="25" spans="2:5" ht="28.5" customHeight="1">
      <c r="B25" s="154" t="s">
        <v>142</v>
      </c>
      <c r="C25" s="98" t="s">
        <v>143</v>
      </c>
      <c r="D25" s="215">
        <f>'Свод 2020'!AB45</f>
        <v>950.11</v>
      </c>
    </row>
    <row r="26" spans="2:5" ht="21.75" customHeight="1">
      <c r="B26" s="202" t="s">
        <v>153</v>
      </c>
      <c r="C26" s="47" t="s">
        <v>59</v>
      </c>
      <c r="D26" s="203">
        <f>'Свод 2020'!AD45</f>
        <v>20902.46</v>
      </c>
    </row>
    <row r="27" spans="2:5" ht="30.75" customHeight="1">
      <c r="B27" s="105" t="s">
        <v>144</v>
      </c>
      <c r="C27" s="164" t="s">
        <v>135</v>
      </c>
      <c r="D27" s="283">
        <f>'Свод 2020'!AE45</f>
        <v>76959.070000000007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2020'!AG45</f>
        <v>34204.03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2020'!AI45</f>
        <v>126881.21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2020'!AK45</f>
        <v>42517.51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2020'!AL45</f>
        <v>20189.88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2020'!AM45</f>
        <v>34679.089999999997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2020'!AJ45</f>
        <v>38717.06</v>
      </c>
      <c r="E42" s="22">
        <f>D43-C8-C13</f>
        <v>60796.47000000003</v>
      </c>
    </row>
    <row r="43" spans="2:5" ht="15" thickBot="1">
      <c r="B43" s="229" t="s">
        <v>253</v>
      </c>
      <c r="C43" s="230"/>
      <c r="D43" s="231">
        <f>SUM(D19:D42)</f>
        <v>577072.28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5">
    <tabColor rgb="FFFFC000"/>
  </sheetPr>
  <dimension ref="B1:F60"/>
  <sheetViews>
    <sheetView topLeftCell="A38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347</v>
      </c>
      <c r="C3" s="264"/>
      <c r="D3" s="264"/>
    </row>
    <row r="4" spans="2:6" ht="15.75" thickBot="1">
      <c r="B4" s="57" t="s">
        <v>260</v>
      </c>
      <c r="C4" s="226">
        <f>'Свод 2020'!H46</f>
        <v>2732.4</v>
      </c>
      <c r="D4" s="217">
        <f>'Свод 2020'!J46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2020'!H46</f>
        <v>2732.4</v>
      </c>
      <c r="F5" s="22">
        <f>'Свод 2020'!J46</f>
        <v>20.88</v>
      </c>
    </row>
    <row r="6" spans="2:6" ht="30">
      <c r="B6" s="178" t="s">
        <v>321</v>
      </c>
      <c r="C6" s="272">
        <f>'Свод 2020'!K46</f>
        <v>380314.02</v>
      </c>
      <c r="D6" s="273"/>
    </row>
    <row r="7" spans="2:6" ht="15">
      <c r="B7" s="40" t="s">
        <v>322</v>
      </c>
      <c r="C7" s="261">
        <f>'Свод 2020'!L46</f>
        <v>685478.06</v>
      </c>
      <c r="D7" s="262"/>
    </row>
    <row r="8" spans="2:6" ht="15">
      <c r="B8" s="40" t="s">
        <v>323</v>
      </c>
      <c r="C8" s="261">
        <f>'Свод 2020'!M46</f>
        <v>621610.17000000004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444181.91000000003</v>
      </c>
      <c r="D10" s="275"/>
      <c r="E10" s="22">
        <f>'Свод 2020'!O46</f>
        <v>444181.91000000003</v>
      </c>
      <c r="F10" s="125"/>
    </row>
    <row r="11" spans="2:6" ht="30">
      <c r="B11" s="178" t="s">
        <v>333</v>
      </c>
      <c r="C11" s="261">
        <f>'Свод 2020'!Q46</f>
        <v>3129.09</v>
      </c>
      <c r="D11" s="262"/>
    </row>
    <row r="12" spans="2:6" ht="15">
      <c r="B12" s="40" t="s">
        <v>324</v>
      </c>
      <c r="C12" s="261">
        <f>'Свод 2020'!R46</f>
        <v>19491.39</v>
      </c>
      <c r="D12" s="262"/>
    </row>
    <row r="13" spans="2:6" ht="15">
      <c r="B13" s="40" t="s">
        <v>325</v>
      </c>
      <c r="C13" s="261">
        <f>'Свод 2020'!S46</f>
        <v>14360.550000000001</v>
      </c>
      <c r="D13" s="262"/>
    </row>
    <row r="14" spans="2:6" ht="28.5">
      <c r="B14" s="41" t="s">
        <v>151</v>
      </c>
      <c r="C14" s="274">
        <f>C11+C12-C13</f>
        <v>8259.9299999999985</v>
      </c>
      <c r="D14" s="275"/>
      <c r="E14" s="22">
        <f>'Свод 2020'!T46</f>
        <v>8259.9299999999985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2020'!W46</f>
        <v>200339.57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2020'!U46</f>
        <v>2295.2199999999998</v>
      </c>
    </row>
    <row r="22" spans="2:5" ht="15">
      <c r="B22" s="46" t="s">
        <v>134</v>
      </c>
      <c r="C22" s="47" t="s">
        <v>60</v>
      </c>
      <c r="D22" s="48">
        <f>'Свод 2020'!V46</f>
        <v>43442.81</v>
      </c>
    </row>
    <row r="23" spans="2:5" ht="30">
      <c r="B23" s="46" t="s">
        <v>161</v>
      </c>
      <c r="C23" s="94" t="s">
        <v>138</v>
      </c>
      <c r="D23" s="48">
        <f>'Свод 2020'!AA46+'Свод 2020'!Z46</f>
        <v>31149.37</v>
      </c>
    </row>
    <row r="24" spans="2:5" ht="28.5" customHeight="1">
      <c r="B24" s="124" t="s">
        <v>141</v>
      </c>
      <c r="C24" s="49" t="s">
        <v>140</v>
      </c>
      <c r="D24" s="209">
        <f>'Свод 2020'!AC46</f>
        <v>2931.66</v>
      </c>
    </row>
    <row r="25" spans="2:5" ht="28.5" customHeight="1">
      <c r="B25" s="154" t="s">
        <v>142</v>
      </c>
      <c r="C25" s="98" t="s">
        <v>143</v>
      </c>
      <c r="D25" s="215">
        <f>'Свод 2020'!AB46</f>
        <v>1311.55</v>
      </c>
    </row>
    <row r="26" spans="2:5" ht="21.75" customHeight="1">
      <c r="B26" s="202" t="s">
        <v>153</v>
      </c>
      <c r="C26" s="47" t="s">
        <v>59</v>
      </c>
      <c r="D26" s="203">
        <f>'Свод 2020'!AD46</f>
        <v>28854.14</v>
      </c>
    </row>
    <row r="27" spans="2:5" ht="30.75" customHeight="1">
      <c r="B27" s="105" t="s">
        <v>144</v>
      </c>
      <c r="C27" s="164" t="s">
        <v>135</v>
      </c>
      <c r="D27" s="283">
        <f>'Свод 2020'!AE46</f>
        <v>106235.71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2020'!AG46</f>
        <v>47215.87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2020'!AI46</f>
        <v>101973.17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2020'!AK46</f>
        <v>31149.360000000001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2020'!AL46</f>
        <v>27542.59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2020'!AM46</f>
        <v>47871.65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2020'!AJ46</f>
        <v>53445.74</v>
      </c>
      <c r="E42" s="22">
        <f>D43-C8-C13</f>
        <v>89787.689999999988</v>
      </c>
    </row>
    <row r="43" spans="2:5" ht="15" thickBot="1">
      <c r="B43" s="229" t="s">
        <v>253</v>
      </c>
      <c r="C43" s="230"/>
      <c r="D43" s="231">
        <f>SUM(D19:D42)</f>
        <v>725758.41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49:D49"/>
    <mergeCell ref="B50:D50"/>
    <mergeCell ref="C9:D9"/>
    <mergeCell ref="C10:D10"/>
    <mergeCell ref="C11:D11"/>
    <mergeCell ref="C12:D12"/>
    <mergeCell ref="C13:D13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21" header="0.17" footer="0.17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6">
    <tabColor rgb="FFFFC000"/>
  </sheetPr>
  <dimension ref="B1:F60"/>
  <sheetViews>
    <sheetView topLeftCell="A38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375</v>
      </c>
      <c r="C3" s="264"/>
      <c r="D3" s="264"/>
    </row>
    <row r="4" spans="2:6" ht="15.75" thickBot="1">
      <c r="B4" s="57" t="s">
        <v>261</v>
      </c>
      <c r="C4" s="226">
        <f>'Свод 2020'!H47</f>
        <v>2671.5</v>
      </c>
      <c r="D4" s="217">
        <f>'Свод 2020'!J47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2020'!H47</f>
        <v>2671.5</v>
      </c>
      <c r="F5" s="22">
        <f>'Свод 2020'!J47</f>
        <v>20.88</v>
      </c>
    </row>
    <row r="6" spans="2:6" ht="30">
      <c r="B6" s="178" t="s">
        <v>321</v>
      </c>
      <c r="C6" s="272">
        <f>'Свод 2020'!K47</f>
        <v>90027.099999999977</v>
      </c>
      <c r="D6" s="273"/>
    </row>
    <row r="7" spans="2:6" ht="15">
      <c r="B7" s="40" t="s">
        <v>322</v>
      </c>
      <c r="C7" s="261">
        <f>'Свод 2020'!L47</f>
        <v>680445.72</v>
      </c>
      <c r="D7" s="262"/>
    </row>
    <row r="8" spans="2:6" ht="15">
      <c r="B8" s="40" t="s">
        <v>323</v>
      </c>
      <c r="C8" s="261">
        <f>'Свод 2020'!M47</f>
        <v>638188.62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132284.19999999995</v>
      </c>
      <c r="D10" s="275"/>
      <c r="E10" s="22">
        <f>'Свод 2020'!O47</f>
        <v>132284.19999999995</v>
      </c>
      <c r="F10" s="125"/>
    </row>
    <row r="11" spans="2:6" ht="30">
      <c r="B11" s="178" t="s">
        <v>333</v>
      </c>
      <c r="C11" s="261">
        <f>'Свод 2020'!Q47</f>
        <v>1199.5799999999995</v>
      </c>
      <c r="D11" s="262"/>
    </row>
    <row r="12" spans="2:6" ht="15">
      <c r="B12" s="40" t="s">
        <v>324</v>
      </c>
      <c r="C12" s="261">
        <f>'Свод 2020'!R47</f>
        <v>4798.32</v>
      </c>
      <c r="D12" s="262"/>
    </row>
    <row r="13" spans="2:6" ht="15">
      <c r="B13" s="40" t="s">
        <v>325</v>
      </c>
      <c r="C13" s="261">
        <f>'Свод 2020'!S47</f>
        <v>3998.6</v>
      </c>
      <c r="D13" s="262"/>
    </row>
    <row r="14" spans="2:6" ht="28.5">
      <c r="B14" s="41" t="s">
        <v>151</v>
      </c>
      <c r="C14" s="274">
        <f>C11+C12-C13</f>
        <v>1999.2999999999997</v>
      </c>
      <c r="D14" s="275"/>
      <c r="E14" s="22">
        <f>'Свод 2020'!T47</f>
        <v>1999.2999999999997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2020'!W47</f>
        <v>195874.38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2020'!U47</f>
        <v>2244.06</v>
      </c>
    </row>
    <row r="22" spans="2:5" ht="15">
      <c r="B22" s="46" t="s">
        <v>134</v>
      </c>
      <c r="C22" s="47" t="s">
        <v>60</v>
      </c>
      <c r="D22" s="48">
        <f>'Свод 2020'!V47</f>
        <v>58986.54</v>
      </c>
    </row>
    <row r="23" spans="2:5" ht="30">
      <c r="B23" s="46" t="s">
        <v>161</v>
      </c>
      <c r="C23" s="94" t="s">
        <v>138</v>
      </c>
      <c r="D23" s="48">
        <f>'Свод 2020'!AA47+'Свод 2020'!Z47</f>
        <v>30455.100000000002</v>
      </c>
    </row>
    <row r="24" spans="2:5" ht="28.5" customHeight="1">
      <c r="B24" s="124" t="s">
        <v>141</v>
      </c>
      <c r="C24" s="49" t="s">
        <v>140</v>
      </c>
      <c r="D24" s="209">
        <f>'Свод 2020'!AC47</f>
        <v>2457.3000000000002</v>
      </c>
    </row>
    <row r="25" spans="2:5" ht="28.5" customHeight="1">
      <c r="B25" s="154" t="s">
        <v>142</v>
      </c>
      <c r="C25" s="98" t="s">
        <v>143</v>
      </c>
      <c r="D25" s="215">
        <f>'Свод 2020'!AB47</f>
        <v>1282.32</v>
      </c>
    </row>
    <row r="26" spans="2:5" ht="21.75" customHeight="1">
      <c r="B26" s="202" t="s">
        <v>153</v>
      </c>
      <c r="C26" s="47" t="s">
        <v>59</v>
      </c>
      <c r="D26" s="203">
        <f>'Свод 2020'!AD47</f>
        <v>28211.040000000001</v>
      </c>
    </row>
    <row r="27" spans="2:5" ht="30.75" customHeight="1">
      <c r="B27" s="105" t="s">
        <v>144</v>
      </c>
      <c r="C27" s="164" t="s">
        <v>135</v>
      </c>
      <c r="D27" s="283">
        <f>'Свод 2020'!AE47</f>
        <v>103867.92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2020'!AG47</f>
        <v>46163.519999999997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2020'!AI47</f>
        <v>99700.38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2020'!AK47</f>
        <v>30455.1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2020'!AL47</f>
        <v>26928.720000000001</v>
      </c>
    </row>
    <row r="39" spans="2:5" ht="14.25" customHeight="1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2020'!AM47</f>
        <v>46804.68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2020'!AJ47</f>
        <v>52254.54</v>
      </c>
      <c r="E42" s="22">
        <f>D43-C8-C13</f>
        <v>83498.380000000092</v>
      </c>
    </row>
    <row r="43" spans="2:5" ht="15" thickBot="1">
      <c r="B43" s="229" t="s">
        <v>253</v>
      </c>
      <c r="C43" s="230"/>
      <c r="D43" s="231">
        <f>SUM(D19:D42)</f>
        <v>725685.60000000009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B1:D1"/>
    <mergeCell ref="B2:D2"/>
    <mergeCell ref="B3:D3"/>
    <mergeCell ref="C5:D5"/>
    <mergeCell ref="C6:D6"/>
    <mergeCell ref="C7:D7"/>
    <mergeCell ref="C8:D8"/>
    <mergeCell ref="C9:D9"/>
    <mergeCell ref="C44:D45"/>
    <mergeCell ref="B46:D46"/>
    <mergeCell ref="B49:D49"/>
    <mergeCell ref="B50:D50"/>
    <mergeCell ref="C10:D10"/>
    <mergeCell ref="C11:D11"/>
    <mergeCell ref="C12:D12"/>
    <mergeCell ref="C13:D13"/>
  </mergeCells>
  <phoneticPr fontId="0" type="noConversion"/>
  <pageMargins left="0.23622047244094491" right="0.23622047244094491" top="0.15748031496062992" bottom="0.31496062992125984" header="0.15748031496062992" footer="0.15748031496062992"/>
  <pageSetup paperSize="9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108">
    <tabColor rgb="FFFFC000"/>
  </sheetPr>
  <dimension ref="B1:F61"/>
  <sheetViews>
    <sheetView topLeftCell="A29" workbookViewId="0"/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332</v>
      </c>
      <c r="C3" s="264"/>
      <c r="D3" s="264"/>
    </row>
    <row r="4" spans="2:6" ht="15.75" thickBot="1">
      <c r="B4" s="57" t="s">
        <v>262</v>
      </c>
      <c r="C4" s="226">
        <f>'Свод 2020'!H48</f>
        <v>5117.2</v>
      </c>
      <c r="D4" s="217">
        <f>'Свод 2020'!J48</f>
        <v>25.92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2020'!H48</f>
        <v>5117.2</v>
      </c>
      <c r="F5" s="22">
        <f>'Свод 2020'!J48</f>
        <v>25.92</v>
      </c>
    </row>
    <row r="6" spans="2:6" ht="30">
      <c r="B6" s="178" t="s">
        <v>321</v>
      </c>
      <c r="C6" s="272">
        <f>'Свод 2020'!K48</f>
        <v>172594.05999999994</v>
      </c>
      <c r="D6" s="273"/>
    </row>
    <row r="7" spans="2:6" ht="15">
      <c r="B7" s="40" t="s">
        <v>322</v>
      </c>
      <c r="C7" s="261">
        <f>'Свод 2020'!L48</f>
        <v>1048018.2</v>
      </c>
      <c r="D7" s="262"/>
    </row>
    <row r="8" spans="2:6" ht="15">
      <c r="B8" s="40" t="s">
        <v>323</v>
      </c>
      <c r="C8" s="261">
        <f>'Свод 2020'!M48</f>
        <v>1080742.8799999999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139869.37999999989</v>
      </c>
      <c r="D10" s="275"/>
      <c r="E10" s="22">
        <f>'Свод 2020'!O48</f>
        <v>139869.37999999989</v>
      </c>
      <c r="F10" s="125"/>
    </row>
    <row r="11" spans="2:6" ht="30">
      <c r="B11" s="178" t="s">
        <v>333</v>
      </c>
      <c r="C11" s="261">
        <f>'Свод 2020'!Q48</f>
        <v>46641.949999999953</v>
      </c>
      <c r="D11" s="262"/>
    </row>
    <row r="12" spans="2:6" ht="15">
      <c r="B12" s="40" t="s">
        <v>324</v>
      </c>
      <c r="C12" s="261">
        <f>'Свод 2020'!R48</f>
        <v>603089.82999999996</v>
      </c>
      <c r="D12" s="262"/>
    </row>
    <row r="13" spans="2:6" ht="15">
      <c r="B13" s="40" t="s">
        <v>325</v>
      </c>
      <c r="C13" s="261">
        <f>'Свод 2020'!S48</f>
        <v>520716.89</v>
      </c>
      <c r="D13" s="262"/>
    </row>
    <row r="14" spans="2:6" ht="28.5">
      <c r="B14" s="41" t="s">
        <v>151</v>
      </c>
      <c r="C14" s="274">
        <f>C11+C12-C13</f>
        <v>129014.8899999999</v>
      </c>
      <c r="D14" s="275"/>
      <c r="E14" s="22">
        <f>'Свод 2020'!T48</f>
        <v>129014.8899999999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2020'!W48</f>
        <v>375193.1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2020'!U48</f>
        <v>4298.45</v>
      </c>
    </row>
    <row r="22" spans="2:5" ht="15">
      <c r="B22" s="46" t="s">
        <v>134</v>
      </c>
      <c r="C22" s="47" t="s">
        <v>60</v>
      </c>
      <c r="D22" s="48">
        <f>'Свод 2020'!V48</f>
        <v>7982.83</v>
      </c>
    </row>
    <row r="23" spans="2:5" ht="30">
      <c r="B23" s="46" t="s">
        <v>161</v>
      </c>
      <c r="C23" s="94" t="s">
        <v>138</v>
      </c>
      <c r="D23" s="48">
        <f>'Свод 2020'!AA48+'Свод 2020'!Z48</f>
        <v>58336.079999999994</v>
      </c>
    </row>
    <row r="24" spans="2:5" ht="28.5" customHeight="1">
      <c r="B24" s="124" t="s">
        <v>141</v>
      </c>
      <c r="C24" s="49" t="s">
        <v>140</v>
      </c>
      <c r="D24" s="209">
        <f>'Свод 2020'!AC48</f>
        <v>2911.3900000000003</v>
      </c>
    </row>
    <row r="25" spans="2:5" ht="28.5" customHeight="1">
      <c r="B25" s="154" t="s">
        <v>142</v>
      </c>
      <c r="C25" s="98" t="s">
        <v>143</v>
      </c>
      <c r="D25" s="209">
        <f>'Свод 2020'!AB48</f>
        <v>2456.2600000000002</v>
      </c>
    </row>
    <row r="26" spans="2:5" ht="21.75" customHeight="1">
      <c r="B26" s="202" t="s">
        <v>153</v>
      </c>
      <c r="C26" s="47" t="s">
        <v>59</v>
      </c>
      <c r="D26" s="203">
        <f>'Свод 2020'!AD48</f>
        <v>54037.63</v>
      </c>
    </row>
    <row r="27" spans="2:5" ht="30.75" customHeight="1" thickBot="1">
      <c r="B27" s="105" t="s">
        <v>144</v>
      </c>
      <c r="C27" s="164" t="s">
        <v>135</v>
      </c>
      <c r="D27" s="283">
        <f>'Свод 2020'!AE48</f>
        <v>198956.74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 customHeight="1">
      <c r="B29" s="291" t="s">
        <v>136</v>
      </c>
      <c r="C29" s="293" t="s">
        <v>137</v>
      </c>
      <c r="D29" s="283"/>
    </row>
    <row r="30" spans="2:5" ht="15.75" customHeight="1" thickBot="1">
      <c r="B30" s="295"/>
      <c r="C30" s="296"/>
      <c r="D30" s="283"/>
    </row>
    <row r="31" spans="2:5" ht="15.75" thickBot="1">
      <c r="B31" s="198" t="s">
        <v>335</v>
      </c>
      <c r="C31" s="191" t="s">
        <v>336</v>
      </c>
      <c r="D31" s="233">
        <f>'Свод 2020'!AF48</f>
        <v>257292.82</v>
      </c>
      <c r="E31" t="s">
        <v>337</v>
      </c>
    </row>
    <row r="32" spans="2:5" ht="30">
      <c r="B32" s="175" t="s">
        <v>158</v>
      </c>
      <c r="C32" s="164" t="s">
        <v>166</v>
      </c>
      <c r="D32" s="176">
        <f>'Свод 2020'!AG48</f>
        <v>88425.22</v>
      </c>
    </row>
    <row r="33" spans="2:6" ht="30">
      <c r="B33" s="148" t="s">
        <v>133</v>
      </c>
      <c r="C33" s="53"/>
      <c r="D33" s="54"/>
    </row>
    <row r="34" spans="2:6" ht="59.25">
      <c r="B34" s="124" t="s">
        <v>182</v>
      </c>
      <c r="C34" s="94" t="s">
        <v>181</v>
      </c>
      <c r="D34" s="89">
        <f>'Свод 2020'!AI48</f>
        <v>190973.9</v>
      </c>
    </row>
    <row r="35" spans="2:6" ht="60.75" thickBot="1">
      <c r="B35" s="148" t="s">
        <v>162</v>
      </c>
      <c r="C35" s="151"/>
      <c r="D35" s="89"/>
    </row>
    <row r="36" spans="2:6" ht="15">
      <c r="B36" s="155" t="s">
        <v>129</v>
      </c>
      <c r="C36" s="156"/>
      <c r="D36" s="157"/>
    </row>
    <row r="37" spans="2:6" ht="120.75" thickBot="1">
      <c r="B37" s="158" t="s">
        <v>154</v>
      </c>
      <c r="C37" s="159" t="s">
        <v>139</v>
      </c>
      <c r="D37" s="160">
        <f>'Свод 2020'!AK48</f>
        <v>109917.46</v>
      </c>
    </row>
    <row r="38" spans="2:6" ht="15">
      <c r="B38" s="155" t="s">
        <v>130</v>
      </c>
      <c r="C38" s="161"/>
      <c r="D38" s="162"/>
    </row>
    <row r="39" spans="2:6" ht="45.75" thickBot="1">
      <c r="B39" s="158" t="s">
        <v>155</v>
      </c>
      <c r="C39" s="159" t="s">
        <v>139</v>
      </c>
      <c r="D39" s="163">
        <f>'Свод 2020'!AL48</f>
        <v>52195.44</v>
      </c>
    </row>
    <row r="40" spans="2:6" ht="15">
      <c r="B40" s="155" t="s">
        <v>131</v>
      </c>
      <c r="C40" s="165"/>
      <c r="D40" s="166"/>
    </row>
    <row r="41" spans="2:6" ht="44.25" customHeight="1" thickBot="1">
      <c r="B41" s="158" t="s">
        <v>148</v>
      </c>
      <c r="C41" s="159" t="s">
        <v>139</v>
      </c>
      <c r="D41" s="163">
        <f>'Свод 2020'!AM48</f>
        <v>89653.34</v>
      </c>
    </row>
    <row r="42" spans="2:6" ht="19.5" customHeight="1">
      <c r="B42" s="167" t="s">
        <v>149</v>
      </c>
      <c r="C42" s="150"/>
      <c r="D42" s="168"/>
    </row>
    <row r="43" spans="2:6" ht="120.75" thickBot="1">
      <c r="B43" s="154" t="s">
        <v>163</v>
      </c>
      <c r="C43" s="151" t="s">
        <v>139</v>
      </c>
      <c r="D43" s="221">
        <f>'Свод 2020'!AJ48</f>
        <v>230540.43</v>
      </c>
      <c r="E43" s="22">
        <f>D44-C8-C13</f>
        <v>121711.31999999995</v>
      </c>
      <c r="F43" s="22"/>
    </row>
    <row r="44" spans="2:6" ht="15" thickBot="1">
      <c r="B44" s="229" t="s">
        <v>253</v>
      </c>
      <c r="C44" s="234"/>
      <c r="D44" s="235">
        <f>SUM(D19:D43)</f>
        <v>1723171.0899999999</v>
      </c>
      <c r="E44" s="22"/>
      <c r="F44" s="22"/>
    </row>
    <row r="45" spans="2:6" ht="15" customHeight="1">
      <c r="B45" s="232" t="s">
        <v>145</v>
      </c>
      <c r="C45" s="289" t="s">
        <v>146</v>
      </c>
      <c r="D45" s="290"/>
      <c r="E45" s="22"/>
      <c r="F45" s="22"/>
    </row>
    <row r="46" spans="2:6" ht="52.5" customHeight="1" thickBot="1">
      <c r="B46" s="153" t="s">
        <v>159</v>
      </c>
      <c r="C46" s="281"/>
      <c r="D46" s="282"/>
    </row>
    <row r="47" spans="2:6" ht="14.25">
      <c r="B47" s="269" t="s">
        <v>215</v>
      </c>
      <c r="C47" s="269"/>
      <c r="D47" s="269"/>
    </row>
    <row r="48" spans="2:6" ht="14.25">
      <c r="B48" s="121"/>
      <c r="C48" s="121"/>
      <c r="D48" s="121"/>
    </row>
    <row r="49" spans="2:4">
      <c r="B49" s="19"/>
      <c r="C49" s="19"/>
      <c r="D49" s="18"/>
    </row>
    <row r="50" spans="2:4" ht="20.25">
      <c r="B50" s="263" t="s">
        <v>87</v>
      </c>
      <c r="C50" s="263"/>
      <c r="D50" s="263"/>
    </row>
    <row r="51" spans="2:4" ht="20.25">
      <c r="B51" s="263" t="s">
        <v>50</v>
      </c>
      <c r="C51" s="263"/>
      <c r="D51" s="263"/>
    </row>
    <row r="52" spans="2:4" ht="20.25">
      <c r="B52" s="263" t="s">
        <v>49</v>
      </c>
      <c r="C52" s="263"/>
      <c r="D52" s="263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 ht="15.75">
      <c r="B55" s="102" t="s">
        <v>64</v>
      </c>
      <c r="C55" s="102"/>
    </row>
    <row r="61" spans="2:4" ht="20.25">
      <c r="B61" s="103"/>
    </row>
  </sheetData>
  <mergeCells count="26">
    <mergeCell ref="D27:D30"/>
    <mergeCell ref="C45:D46"/>
    <mergeCell ref="B47:D47"/>
    <mergeCell ref="B50:D50"/>
    <mergeCell ref="B16:D16"/>
    <mergeCell ref="C17:C18"/>
    <mergeCell ref="D17:D18"/>
    <mergeCell ref="D19:D20"/>
    <mergeCell ref="B29:B30"/>
    <mergeCell ref="C29:C30"/>
    <mergeCell ref="B1:D1"/>
    <mergeCell ref="B2:D2"/>
    <mergeCell ref="B3:D3"/>
    <mergeCell ref="C5:D5"/>
    <mergeCell ref="C6:D6"/>
    <mergeCell ref="C7:D7"/>
    <mergeCell ref="B51:D51"/>
    <mergeCell ref="B52:D52"/>
    <mergeCell ref="C8:D8"/>
    <mergeCell ref="C9:D9"/>
    <mergeCell ref="C10:D10"/>
    <mergeCell ref="C11:D11"/>
    <mergeCell ref="C12:D12"/>
    <mergeCell ref="C13:D13"/>
    <mergeCell ref="C14:D14"/>
    <mergeCell ref="B15:D15"/>
  </mergeCells>
  <phoneticPr fontId="0" type="noConversion"/>
  <pageMargins left="0.19685039370078741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7">
    <tabColor rgb="FFFFC000"/>
  </sheetPr>
  <dimension ref="B1:F60"/>
  <sheetViews>
    <sheetView topLeftCell="A35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376</v>
      </c>
      <c r="C3" s="264"/>
      <c r="D3" s="264"/>
    </row>
    <row r="4" spans="2:6" ht="15.75" thickBot="1">
      <c r="B4" s="57" t="s">
        <v>263</v>
      </c>
      <c r="C4" s="226">
        <f>'Свод 2020'!H49</f>
        <v>2708.1</v>
      </c>
      <c r="D4" s="217">
        <f>'Свод 2020'!J49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2020'!H49</f>
        <v>2708.1</v>
      </c>
      <c r="F5" s="22">
        <f>'Свод 2020'!J49</f>
        <v>20.88</v>
      </c>
    </row>
    <row r="6" spans="2:6" ht="30">
      <c r="B6" s="178" t="s">
        <v>321</v>
      </c>
      <c r="C6" s="272">
        <f>'Свод 2020'!K49</f>
        <v>134126.85999999999</v>
      </c>
      <c r="D6" s="273"/>
    </row>
    <row r="7" spans="2:6" ht="15">
      <c r="B7" s="40" t="s">
        <v>322</v>
      </c>
      <c r="C7" s="261">
        <f>'Свод 2020'!L49</f>
        <v>678541.2</v>
      </c>
      <c r="D7" s="262"/>
    </row>
    <row r="8" spans="2:6" ht="15">
      <c r="B8" s="40" t="s">
        <v>323</v>
      </c>
      <c r="C8" s="261">
        <f>'Свод 2020'!M49</f>
        <v>660962.84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151705.21999999997</v>
      </c>
      <c r="D10" s="275"/>
      <c r="E10" s="22">
        <f>'Свод 2020'!O49</f>
        <v>151705.21999999997</v>
      </c>
      <c r="F10" s="125"/>
    </row>
    <row r="11" spans="2:6" ht="30">
      <c r="B11" s="178" t="s">
        <v>333</v>
      </c>
      <c r="C11" s="261">
        <f>'Свод 2020'!Q49</f>
        <v>2520.5500000000011</v>
      </c>
      <c r="D11" s="262"/>
    </row>
    <row r="12" spans="2:6" ht="15">
      <c r="B12" s="40" t="s">
        <v>324</v>
      </c>
      <c r="C12" s="261">
        <f>'Свод 2020'!R49</f>
        <v>9754.77</v>
      </c>
      <c r="D12" s="262"/>
    </row>
    <row r="13" spans="2:6" ht="15">
      <c r="B13" s="40" t="s">
        <v>325</v>
      </c>
      <c r="C13" s="261">
        <f>'Свод 2020'!S49</f>
        <v>5232.47</v>
      </c>
      <c r="D13" s="262"/>
    </row>
    <row r="14" spans="2:6" ht="28.5">
      <c r="B14" s="41" t="s">
        <v>151</v>
      </c>
      <c r="C14" s="274">
        <f>C11+C12-C13</f>
        <v>7042.8500000000013</v>
      </c>
      <c r="D14" s="275"/>
      <c r="E14" s="22">
        <f>'Свод 2020'!T49</f>
        <v>7042.8500000000013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2020'!W49</f>
        <v>198557.89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2020'!U49</f>
        <v>2274.8000000000002</v>
      </c>
    </row>
    <row r="22" spans="2:5" ht="15">
      <c r="B22" s="46" t="s">
        <v>134</v>
      </c>
      <c r="C22" s="47" t="s">
        <v>60</v>
      </c>
      <c r="D22" s="48">
        <f>'Свод 2020'!V49</f>
        <v>63636.639999999999</v>
      </c>
    </row>
    <row r="23" spans="2:5" ht="30">
      <c r="B23" s="46" t="s">
        <v>161</v>
      </c>
      <c r="C23" s="94" t="s">
        <v>138</v>
      </c>
      <c r="D23" s="48">
        <f>'Свод 2020'!AA49+'Свод 2020'!Z49</f>
        <v>30872.33</v>
      </c>
    </row>
    <row r="24" spans="2:5" ht="28.5" customHeight="1">
      <c r="B24" s="124" t="s">
        <v>141</v>
      </c>
      <c r="C24" s="49" t="s">
        <v>140</v>
      </c>
      <c r="D24" s="209">
        <f>'Свод 2020'!AC49</f>
        <v>2524.3000000000002</v>
      </c>
    </row>
    <row r="25" spans="2:5" ht="28.5" customHeight="1">
      <c r="B25" s="154" t="s">
        <v>142</v>
      </c>
      <c r="C25" s="98" t="s">
        <v>143</v>
      </c>
      <c r="D25" s="215">
        <f>'Свод 2020'!AB49</f>
        <v>1299.8900000000001</v>
      </c>
    </row>
    <row r="26" spans="2:5" ht="21.75" customHeight="1">
      <c r="B26" s="202" t="s">
        <v>153</v>
      </c>
      <c r="C26" s="47" t="s">
        <v>59</v>
      </c>
      <c r="D26" s="203">
        <f>'Свод 2020'!AD49</f>
        <v>28597.54</v>
      </c>
    </row>
    <row r="27" spans="2:5" ht="30.75" customHeight="1">
      <c r="B27" s="105" t="s">
        <v>144</v>
      </c>
      <c r="C27" s="164" t="s">
        <v>135</v>
      </c>
      <c r="D27" s="283">
        <f>'Свод 2020'!AE49</f>
        <v>105290.93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2020'!AG49</f>
        <v>46795.97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2020'!AI49</f>
        <v>101066.29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2020'!AK49</f>
        <v>30872.34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2020'!AL49</f>
        <v>27297.65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2020'!AM49</f>
        <v>47445.91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2020'!AJ49</f>
        <v>52970.44</v>
      </c>
      <c r="E42" s="22">
        <f>D43-C8-C13</f>
        <v>73307.61000000019</v>
      </c>
    </row>
    <row r="43" spans="2:5" ht="15" thickBot="1">
      <c r="B43" s="229" t="s">
        <v>253</v>
      </c>
      <c r="C43" s="230"/>
      <c r="D43" s="231">
        <f>SUM(D19:D42)</f>
        <v>739502.92000000016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17" bottom="0.21" header="0.17" footer="0.17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8">
    <tabColor rgb="FFFFC000"/>
  </sheetPr>
  <dimension ref="B1:F60"/>
  <sheetViews>
    <sheetView topLeftCell="A38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377</v>
      </c>
      <c r="C3" s="264"/>
      <c r="D3" s="264"/>
    </row>
    <row r="4" spans="2:6" ht="15.75" thickBot="1">
      <c r="B4" s="57" t="s">
        <v>264</v>
      </c>
      <c r="C4" s="226">
        <f>'Свод 2020'!H50</f>
        <v>2705</v>
      </c>
      <c r="D4" s="217">
        <f>'Свод 2020'!J50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2020'!H50</f>
        <v>2705</v>
      </c>
      <c r="F5" s="22">
        <f>'Свод 2020'!J50</f>
        <v>20.88</v>
      </c>
    </row>
    <row r="6" spans="2:6" ht="30">
      <c r="B6" s="178" t="s">
        <v>321</v>
      </c>
      <c r="C6" s="272">
        <f>'Свод 2020'!K50</f>
        <v>214706.03999999992</v>
      </c>
      <c r="D6" s="273"/>
    </row>
    <row r="7" spans="2:6" ht="15">
      <c r="B7" s="40" t="s">
        <v>322</v>
      </c>
      <c r="C7" s="261">
        <f>'Свод 2020'!L50</f>
        <v>677764.44</v>
      </c>
      <c r="D7" s="262"/>
    </row>
    <row r="8" spans="2:6" ht="15">
      <c r="B8" s="40" t="s">
        <v>323</v>
      </c>
      <c r="C8" s="261">
        <f>'Свод 2020'!M50</f>
        <v>655791.91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236678.56999999983</v>
      </c>
      <c r="D10" s="275"/>
      <c r="E10" s="22">
        <f>'Свод 2020'!O50</f>
        <v>236678.56999999983</v>
      </c>
      <c r="F10" s="125"/>
    </row>
    <row r="11" spans="2:6" ht="30">
      <c r="B11" s="178" t="s">
        <v>333</v>
      </c>
      <c r="C11" s="261">
        <f>'Свод 2020'!Q50</f>
        <v>1199.5799999999995</v>
      </c>
      <c r="D11" s="262"/>
    </row>
    <row r="12" spans="2:6" ht="15">
      <c r="B12" s="40" t="s">
        <v>324</v>
      </c>
      <c r="C12" s="261">
        <f>'Свод 2020'!R50</f>
        <v>4798.32</v>
      </c>
      <c r="D12" s="262"/>
    </row>
    <row r="13" spans="2:6" ht="15">
      <c r="B13" s="40" t="s">
        <v>325</v>
      </c>
      <c r="C13" s="261">
        <f>'Свод 2020'!S50</f>
        <v>998.6</v>
      </c>
      <c r="D13" s="262"/>
    </row>
    <row r="14" spans="2:6" ht="28.5">
      <c r="B14" s="41" t="s">
        <v>151</v>
      </c>
      <c r="C14" s="274">
        <f>C11+C12-C13</f>
        <v>4999.2999999999993</v>
      </c>
      <c r="D14" s="275"/>
      <c r="E14" s="22">
        <f>'Свод 2020'!T50</f>
        <v>4999.2999999999993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2020'!W50</f>
        <v>198330.6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2020'!U50</f>
        <v>2272.1999999999998</v>
      </c>
    </row>
    <row r="22" spans="2:5" ht="15">
      <c r="B22" s="46" t="s">
        <v>134</v>
      </c>
      <c r="C22" s="47" t="s">
        <v>60</v>
      </c>
      <c r="D22" s="48">
        <f>'Свод 2020'!V50</f>
        <v>51081.630000000005</v>
      </c>
    </row>
    <row r="23" spans="2:5" ht="30">
      <c r="B23" s="46" t="s">
        <v>161</v>
      </c>
      <c r="C23" s="94" t="s">
        <v>138</v>
      </c>
      <c r="D23" s="48">
        <f>'Свод 2020'!AA50+'Свод 2020'!Z50</f>
        <v>30837</v>
      </c>
    </row>
    <row r="24" spans="2:5" ht="28.5" customHeight="1">
      <c r="B24" s="124" t="s">
        <v>141</v>
      </c>
      <c r="C24" s="49" t="s">
        <v>140</v>
      </c>
      <c r="D24" s="209">
        <f>'Свод 2020'!AC50</f>
        <v>3362.8999999999996</v>
      </c>
    </row>
    <row r="25" spans="2:5" ht="28.5" customHeight="1">
      <c r="B25" s="154" t="s">
        <v>142</v>
      </c>
      <c r="C25" s="98" t="s">
        <v>143</v>
      </c>
      <c r="D25" s="215">
        <f>'Свод 2020'!AB50</f>
        <v>1298.4000000000001</v>
      </c>
    </row>
    <row r="26" spans="2:5" ht="21.75" customHeight="1">
      <c r="B26" s="202" t="s">
        <v>153</v>
      </c>
      <c r="C26" s="47" t="s">
        <v>59</v>
      </c>
      <c r="D26" s="203">
        <f>'Свод 2020'!AD50</f>
        <v>28564.799999999999</v>
      </c>
    </row>
    <row r="27" spans="2:5" ht="30.75" customHeight="1">
      <c r="B27" s="105" t="s">
        <v>144</v>
      </c>
      <c r="C27" s="164" t="s">
        <v>135</v>
      </c>
      <c r="D27" s="283">
        <f>'Свод 2020'!AE50</f>
        <v>105170.4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2020'!AG50</f>
        <v>46742.400000000001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2020'!AI50</f>
        <v>100950.6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2020'!AK50</f>
        <v>30837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2020'!AL50</f>
        <v>27266.400000000001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2020'!AM50</f>
        <v>47391.6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2020'!AJ50</f>
        <v>52909.8</v>
      </c>
      <c r="E42" s="22">
        <f>D43-C8-C13</f>
        <v>70225.220000000059</v>
      </c>
    </row>
    <row r="43" spans="2:5" ht="15" thickBot="1">
      <c r="B43" s="229" t="s">
        <v>253</v>
      </c>
      <c r="C43" s="230"/>
      <c r="D43" s="231">
        <f>SUM(D19:D42)</f>
        <v>727015.7300000001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17" header="0.17" footer="0.17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9">
    <tabColor rgb="FFFFC000"/>
  </sheetPr>
  <dimension ref="B1:F60"/>
  <sheetViews>
    <sheetView topLeftCell="A38" workbookViewId="0">
      <selection activeCell="C17" sqref="C17:C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375</v>
      </c>
      <c r="C3" s="264"/>
      <c r="D3" s="264"/>
    </row>
    <row r="4" spans="2:6" ht="15.75" thickBot="1">
      <c r="B4" s="57" t="s">
        <v>265</v>
      </c>
      <c r="C4" s="226">
        <f>'Свод 2020'!H51</f>
        <v>2706.7</v>
      </c>
      <c r="D4" s="217">
        <f>'Свод 2020'!J51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2020'!H51</f>
        <v>2706.7</v>
      </c>
      <c r="F5" s="22">
        <f>'Свод 2020'!J51</f>
        <v>20.88</v>
      </c>
    </row>
    <row r="6" spans="2:6" ht="30">
      <c r="B6" s="178" t="s">
        <v>321</v>
      </c>
      <c r="C6" s="272">
        <f>'Свод 2020'!K51</f>
        <v>126559.99</v>
      </c>
      <c r="D6" s="273"/>
    </row>
    <row r="7" spans="2:6" ht="15">
      <c r="B7" s="40" t="s">
        <v>322</v>
      </c>
      <c r="C7" s="261">
        <f>'Свод 2020'!L51</f>
        <v>662856.72</v>
      </c>
      <c r="D7" s="262"/>
    </row>
    <row r="8" spans="2:6" ht="15">
      <c r="B8" s="40" t="s">
        <v>323</v>
      </c>
      <c r="C8" s="261">
        <f>'Свод 2020'!M51</f>
        <v>678706.34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110710.37</v>
      </c>
      <c r="D10" s="275"/>
      <c r="E10" s="22">
        <f>'Свод 2020'!O51</f>
        <v>110710.37</v>
      </c>
      <c r="F10" s="125"/>
    </row>
    <row r="11" spans="2:6" ht="30">
      <c r="B11" s="178" t="s">
        <v>333</v>
      </c>
      <c r="C11" s="261">
        <f>'Свод 2020'!Q51</f>
        <v>1199.5799999999995</v>
      </c>
      <c r="D11" s="262"/>
    </row>
    <row r="12" spans="2:6" ht="15">
      <c r="B12" s="40" t="s">
        <v>324</v>
      </c>
      <c r="C12" s="261">
        <f>'Свод 2020'!R51</f>
        <v>4798.32</v>
      </c>
      <c r="D12" s="262"/>
    </row>
    <row r="13" spans="2:6" ht="15">
      <c r="B13" s="40" t="s">
        <v>325</v>
      </c>
      <c r="C13" s="261">
        <f>'Свод 2020'!S51</f>
        <v>998.6</v>
      </c>
      <c r="D13" s="262"/>
    </row>
    <row r="14" spans="2:6" ht="28.5">
      <c r="B14" s="41" t="s">
        <v>151</v>
      </c>
      <c r="C14" s="274">
        <f>C11+C12-C13</f>
        <v>4999.2999999999993</v>
      </c>
      <c r="D14" s="275"/>
      <c r="E14" s="22">
        <f>'Свод 2020'!T51</f>
        <v>4999.2999999999993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2020'!W51</f>
        <v>198455.24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2020'!U51</f>
        <v>2273.63</v>
      </c>
    </row>
    <row r="22" spans="2:5" ht="15">
      <c r="B22" s="46" t="s">
        <v>134</v>
      </c>
      <c r="C22" s="47" t="s">
        <v>60</v>
      </c>
      <c r="D22" s="48">
        <f>'Свод 2020'!V51</f>
        <v>48368.289999999994</v>
      </c>
    </row>
    <row r="23" spans="2:5" ht="30">
      <c r="B23" s="46" t="s">
        <v>161</v>
      </c>
      <c r="C23" s="94" t="s">
        <v>138</v>
      </c>
      <c r="D23" s="48">
        <f>'Свод 2020'!AA51+'Свод 2020'!Z51</f>
        <v>30856.38</v>
      </c>
    </row>
    <row r="24" spans="2:5" ht="28.5" customHeight="1">
      <c r="B24" s="124" t="s">
        <v>141</v>
      </c>
      <c r="C24" s="49" t="s">
        <v>140</v>
      </c>
      <c r="D24" s="209">
        <f>'Свод 2020'!AC51</f>
        <v>4140.93</v>
      </c>
    </row>
    <row r="25" spans="2:5" ht="28.5" customHeight="1">
      <c r="B25" s="154" t="s">
        <v>142</v>
      </c>
      <c r="C25" s="98" t="s">
        <v>143</v>
      </c>
      <c r="D25" s="215">
        <f>'Свод 2020'!AB51</f>
        <v>1299.22</v>
      </c>
    </row>
    <row r="26" spans="2:5" ht="21.75" customHeight="1">
      <c r="B26" s="202" t="s">
        <v>153</v>
      </c>
      <c r="C26" s="47" t="s">
        <v>59</v>
      </c>
      <c r="D26" s="203">
        <f>'Свод 2020'!AD51</f>
        <v>28582.75</v>
      </c>
    </row>
    <row r="27" spans="2:5" ht="30.75" customHeight="1">
      <c r="B27" s="105" t="s">
        <v>144</v>
      </c>
      <c r="C27" s="164" t="s">
        <v>135</v>
      </c>
      <c r="D27" s="283">
        <f>'Свод 2020'!AE51</f>
        <v>105236.5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2020'!AG51</f>
        <v>46771.78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2020'!AI51</f>
        <v>101014.04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2020'!AK51</f>
        <v>30856.38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2020'!AL51</f>
        <v>27283.54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2020'!AM51</f>
        <v>47421.38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2020'!AJ51</f>
        <v>52943.05</v>
      </c>
      <c r="E42" s="22">
        <f>D43-C8-C13</f>
        <v>45798.170000000136</v>
      </c>
    </row>
    <row r="43" spans="2:5" ht="15" thickBot="1">
      <c r="B43" s="229" t="s">
        <v>253</v>
      </c>
      <c r="C43" s="230"/>
      <c r="D43" s="231">
        <f>SUM(D19:D42)</f>
        <v>725503.1100000001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honeticPr fontId="0" type="noConversion"/>
  <pageMargins left="0.24" right="0.24" top="0.17" bottom="0.27" header="0.18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5" enableFormatConditionsCalculation="0">
    <tabColor rgb="FFFFFFCC"/>
  </sheetPr>
  <dimension ref="B1:F60"/>
  <sheetViews>
    <sheetView topLeftCell="A38" workbookViewId="0">
      <selection activeCell="E17" sqref="E17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340</v>
      </c>
      <c r="C3" s="264"/>
      <c r="D3" s="264"/>
    </row>
    <row r="4" spans="2:6" ht="15.75" thickBot="1">
      <c r="B4" s="57" t="s">
        <v>210</v>
      </c>
      <c r="C4" s="226">
        <f>'Свод 2020'!H7</f>
        <v>2697.1</v>
      </c>
      <c r="D4" s="217">
        <f>'Свод 2020'!J7</f>
        <v>20.88</v>
      </c>
      <c r="E4" s="22">
        <f>'Свод 2020'!H7</f>
        <v>2697.1</v>
      </c>
    </row>
    <row r="5" spans="2:6" ht="31.5" customHeight="1" thickBot="1">
      <c r="B5" s="36" t="s">
        <v>54</v>
      </c>
      <c r="C5" s="270" t="s">
        <v>150</v>
      </c>
      <c r="D5" s="271"/>
    </row>
    <row r="6" spans="2:6" ht="30">
      <c r="B6" s="178" t="s">
        <v>321</v>
      </c>
      <c r="C6" s="272">
        <f>'Свод 2020'!K7</f>
        <v>190190.74</v>
      </c>
      <c r="D6" s="273"/>
    </row>
    <row r="7" spans="2:6" ht="15">
      <c r="B7" s="40" t="s">
        <v>322</v>
      </c>
      <c r="C7" s="261">
        <f>'Свод 2020'!L7</f>
        <v>675784.92</v>
      </c>
      <c r="D7" s="262"/>
    </row>
    <row r="8" spans="2:6" ht="15">
      <c r="B8" s="40" t="s">
        <v>323</v>
      </c>
      <c r="C8" s="261">
        <f>'Свод 2020'!M7</f>
        <v>669254.81999999995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196720.84000000008</v>
      </c>
      <c r="D10" s="275"/>
      <c r="E10" s="22">
        <f>'Свод 2020'!O7</f>
        <v>196720.84000000008</v>
      </c>
      <c r="F10" s="125"/>
    </row>
    <row r="11" spans="2:6" ht="30">
      <c r="B11" s="178" t="s">
        <v>333</v>
      </c>
      <c r="C11" s="261">
        <f>'Свод 2020'!Q7</f>
        <v>2520.5800000000017</v>
      </c>
      <c r="D11" s="262"/>
    </row>
    <row r="12" spans="2:6" ht="15">
      <c r="B12" s="40" t="s">
        <v>324</v>
      </c>
      <c r="C12" s="261">
        <f>'Свод 2020'!R7</f>
        <v>20638.27</v>
      </c>
      <c r="D12" s="262"/>
    </row>
    <row r="13" spans="2:6" ht="15">
      <c r="B13" s="40" t="s">
        <v>325</v>
      </c>
      <c r="C13" s="261">
        <f>'Свод 2020'!S7</f>
        <v>15511.300000000001</v>
      </c>
      <c r="D13" s="262"/>
    </row>
    <row r="14" spans="2:6" ht="28.5">
      <c r="B14" s="41" t="s">
        <v>151</v>
      </c>
      <c r="C14" s="274">
        <f>C11+C12-C13</f>
        <v>7647.5500000000011</v>
      </c>
      <c r="D14" s="275"/>
      <c r="E14" s="22">
        <f>'Свод 2020'!T7</f>
        <v>7647.5500000000011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</f>
        <v>197751.37</v>
      </c>
    </row>
    <row r="20" spans="2:5" ht="15.75" thickBot="1">
      <c r="B20" s="158" t="s">
        <v>152</v>
      </c>
      <c r="C20" s="97" t="s">
        <v>143</v>
      </c>
      <c r="D20" s="284"/>
      <c r="E20" t="s">
        <v>176</v>
      </c>
    </row>
    <row r="21" spans="2:5" ht="30">
      <c r="B21" s="105" t="s">
        <v>160</v>
      </c>
      <c r="C21" s="106" t="s">
        <v>157</v>
      </c>
      <c r="D21" s="170">
        <f>'Свод 2020'!U7</f>
        <v>2265.56</v>
      </c>
    </row>
    <row r="22" spans="2:5" ht="15">
      <c r="B22" s="46" t="s">
        <v>134</v>
      </c>
      <c r="C22" s="47" t="s">
        <v>170</v>
      </c>
      <c r="D22" s="48">
        <f>'Свод 2020'!V7</f>
        <v>41714.319999999992</v>
      </c>
    </row>
    <row r="23" spans="2:5" ht="30">
      <c r="B23" s="46" t="s">
        <v>161</v>
      </c>
      <c r="C23" s="94" t="s">
        <v>138</v>
      </c>
      <c r="D23" s="48">
        <f>'Свод 2020'!AA7+'Свод 2020'!Z7</f>
        <v>30746.93</v>
      </c>
    </row>
    <row r="24" spans="2:5" ht="28.5" customHeight="1">
      <c r="B24" s="124" t="s">
        <v>141</v>
      </c>
      <c r="C24" s="49" t="s">
        <v>140</v>
      </c>
      <c r="D24" s="209">
        <f>'Свод 2020'!AC7</f>
        <v>1935.2800000000002</v>
      </c>
    </row>
    <row r="25" spans="2:5" ht="28.5" customHeight="1">
      <c r="B25" s="154" t="s">
        <v>142</v>
      </c>
      <c r="C25" s="98" t="s">
        <v>143</v>
      </c>
      <c r="D25" s="209">
        <f>'Свод 2020'!AB7</f>
        <v>1294.6099999999999</v>
      </c>
    </row>
    <row r="26" spans="2:5" ht="21.75" customHeight="1">
      <c r="B26" s="202" t="s">
        <v>153</v>
      </c>
      <c r="C26" s="47" t="s">
        <v>169</v>
      </c>
      <c r="D26" s="203">
        <f>'Свод 2020'!AD7</f>
        <v>28481.38</v>
      </c>
    </row>
    <row r="27" spans="2:5" ht="30.75" customHeight="1">
      <c r="B27" s="105" t="s">
        <v>144</v>
      </c>
      <c r="C27" s="164" t="s">
        <v>135</v>
      </c>
      <c r="D27" s="283">
        <f>'Свод 2020'!AE7</f>
        <v>104863.25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2020'!AG7</f>
        <v>46605.89</v>
      </c>
    </row>
    <row r="32" spans="2:5" ht="30">
      <c r="B32" s="148" t="s">
        <v>133</v>
      </c>
      <c r="C32" s="53"/>
      <c r="D32" s="54"/>
    </row>
    <row r="33" spans="2:5" ht="59.25">
      <c r="B33" s="124" t="s">
        <v>177</v>
      </c>
      <c r="C33" s="94" t="s">
        <v>175</v>
      </c>
      <c r="D33" s="89">
        <f>'Свод 2020'!AI7</f>
        <v>100655.77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2020'!AK7</f>
        <v>30746.94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2020'!AL7</f>
        <v>27186.77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2020'!AM7</f>
        <v>47253.19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2020'!AJ7</f>
        <v>52755.28</v>
      </c>
      <c r="E42" s="22">
        <f>D43-C8-C13</f>
        <v>29490.420000000086</v>
      </c>
    </row>
    <row r="43" spans="2:5" ht="15" thickBot="1">
      <c r="B43" s="229" t="s">
        <v>253</v>
      </c>
      <c r="C43" s="230"/>
      <c r="D43" s="231">
        <f>SUM(D19:D42)</f>
        <v>714256.54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honeticPr fontId="0" type="noConversion"/>
  <pageMargins left="0.24" right="0.24" top="0.2" bottom="0.23" header="0.17" footer="0.17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10">
    <tabColor rgb="FFFFC000"/>
  </sheetPr>
  <dimension ref="B1:F60"/>
  <sheetViews>
    <sheetView topLeftCell="A41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360</v>
      </c>
      <c r="C3" s="264"/>
      <c r="D3" s="264"/>
    </row>
    <row r="4" spans="2:6" ht="15.75" thickBot="1">
      <c r="B4" s="57" t="s">
        <v>266</v>
      </c>
      <c r="C4" s="226">
        <f>'Свод 2020'!H52</f>
        <v>4403.7</v>
      </c>
      <c r="D4" s="217">
        <f>'Свод 2020'!J52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2020'!H52</f>
        <v>4403.7</v>
      </c>
      <c r="F5" s="22">
        <f>'Свод 2020'!J51</f>
        <v>20.88</v>
      </c>
    </row>
    <row r="6" spans="2:6" ht="30">
      <c r="B6" s="178" t="s">
        <v>321</v>
      </c>
      <c r="C6" s="272">
        <f>'Свод 2020'!K52</f>
        <v>278811.90999999997</v>
      </c>
      <c r="D6" s="273"/>
    </row>
    <row r="7" spans="2:6" ht="15">
      <c r="B7" s="40" t="s">
        <v>322</v>
      </c>
      <c r="C7" s="261">
        <f>'Свод 2020'!L52</f>
        <v>1075554.3600000001</v>
      </c>
      <c r="D7" s="262"/>
    </row>
    <row r="8" spans="2:6" ht="15">
      <c r="B8" s="40" t="s">
        <v>323</v>
      </c>
      <c r="C8" s="261">
        <f>'Свод 2020'!M52</f>
        <v>1123199.17</v>
      </c>
      <c r="D8" s="262"/>
    </row>
    <row r="9" spans="2:6" ht="15">
      <c r="B9" s="40" t="s">
        <v>127</v>
      </c>
      <c r="C9" s="261">
        <f>'Свод 2020'!N43</f>
        <v>0</v>
      </c>
      <c r="D9" s="262"/>
    </row>
    <row r="10" spans="2:6" ht="28.5">
      <c r="B10" s="41" t="s">
        <v>147</v>
      </c>
      <c r="C10" s="274">
        <f>C6+C7-C8+C9</f>
        <v>231167.10000000009</v>
      </c>
      <c r="D10" s="275"/>
      <c r="E10" s="22">
        <f>'Свод 2020'!O52</f>
        <v>231167.10000000009</v>
      </c>
      <c r="F10" s="125"/>
    </row>
    <row r="11" spans="2:6" ht="30">
      <c r="B11" s="178" t="s">
        <v>333</v>
      </c>
      <c r="C11" s="261">
        <f>'Свод 2020'!Q52</f>
        <v>13820.419999999995</v>
      </c>
      <c r="D11" s="262"/>
    </row>
    <row r="12" spans="2:6" ht="15">
      <c r="B12" s="40" t="s">
        <v>324</v>
      </c>
      <c r="C12" s="261">
        <f>'Свод 2020'!R52</f>
        <v>35425.869999999995</v>
      </c>
      <c r="D12" s="262"/>
    </row>
    <row r="13" spans="2:6" ht="15">
      <c r="B13" s="40" t="s">
        <v>325</v>
      </c>
      <c r="C13" s="261">
        <f>'Свод 2020'!S52</f>
        <v>27104.62</v>
      </c>
      <c r="D13" s="262"/>
    </row>
    <row r="14" spans="2:6" ht="28.5">
      <c r="B14" s="41" t="s">
        <v>151</v>
      </c>
      <c r="C14" s="274">
        <f>C11+C12-C13</f>
        <v>22141.669999999995</v>
      </c>
      <c r="D14" s="275"/>
      <c r="E14" s="22">
        <f>'Свод 2020'!T52</f>
        <v>22141.669999999995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2020'!W52</f>
        <v>322879.28000000003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2020'!U52</f>
        <v>3699.11</v>
      </c>
    </row>
    <row r="22" spans="2:5" ht="15">
      <c r="B22" s="46" t="s">
        <v>134</v>
      </c>
      <c r="C22" s="47" t="s">
        <v>60</v>
      </c>
      <c r="D22" s="48">
        <f>'Свод 2020'!V52</f>
        <v>48124.119999999995</v>
      </c>
    </row>
    <row r="23" spans="2:5" ht="30">
      <c r="B23" s="46" t="s">
        <v>161</v>
      </c>
      <c r="C23" s="94" t="s">
        <v>138</v>
      </c>
      <c r="D23" s="48">
        <f>'Свод 2020'!AA52+'Свод 2020'!Z52</f>
        <v>50202.18</v>
      </c>
    </row>
    <row r="24" spans="2:5" ht="28.5" customHeight="1">
      <c r="B24" s="124" t="s">
        <v>141</v>
      </c>
      <c r="C24" s="49" t="s">
        <v>140</v>
      </c>
      <c r="D24" s="209">
        <f>'Свод 2020'!AC52</f>
        <v>3899.0499999999997</v>
      </c>
    </row>
    <row r="25" spans="2:5" ht="28.5" customHeight="1">
      <c r="B25" s="154" t="s">
        <v>142</v>
      </c>
      <c r="C25" s="98" t="s">
        <v>143</v>
      </c>
      <c r="D25" s="215">
        <f>'Свод 2020'!AB52</f>
        <v>2113.7800000000002</v>
      </c>
    </row>
    <row r="26" spans="2:5" ht="21.75" customHeight="1">
      <c r="B26" s="202" t="s">
        <v>153</v>
      </c>
      <c r="C26" s="47" t="s">
        <v>59</v>
      </c>
      <c r="D26" s="203">
        <f>'Свод 2020'!AD52</f>
        <v>46503.07</v>
      </c>
    </row>
    <row r="27" spans="2:5" ht="30.75" customHeight="1">
      <c r="B27" s="105" t="s">
        <v>144</v>
      </c>
      <c r="C27" s="164" t="s">
        <v>135</v>
      </c>
      <c r="D27" s="283">
        <f>'Свод 2020'!AE52</f>
        <v>171215.86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2020'!AG52</f>
        <v>76095.94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2020'!AI52</f>
        <v>164346.07999999999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2020'!AK52</f>
        <v>50202.18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2020'!AL52</f>
        <v>44389.3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2020'!AM52</f>
        <v>77152.820000000007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2020'!AJ52</f>
        <v>97906.37</v>
      </c>
      <c r="E42" s="22">
        <f>D43-C8-C13</f>
        <v>8425.3500000002059</v>
      </c>
    </row>
    <row r="43" spans="2:5" ht="15" thickBot="1">
      <c r="B43" s="229" t="s">
        <v>253</v>
      </c>
      <c r="C43" s="230"/>
      <c r="D43" s="231">
        <f>SUM(D19:D42)</f>
        <v>1158729.1400000001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17" header="0.17" footer="0.17"/>
  <pageSetup paperSize="9" orientation="portrait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11">
    <tabColor rgb="FFFFC000"/>
  </sheetPr>
  <dimension ref="B1:F60"/>
  <sheetViews>
    <sheetView topLeftCell="A38" workbookViewId="0">
      <selection activeCell="C23" sqref="C23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373</v>
      </c>
      <c r="C3" s="264"/>
      <c r="D3" s="264"/>
    </row>
    <row r="4" spans="2:6" ht="15.75" thickBot="1">
      <c r="B4" s="57" t="s">
        <v>267</v>
      </c>
      <c r="C4" s="226">
        <f>'Свод 2020'!H53</f>
        <v>4379.5</v>
      </c>
      <c r="D4" s="217">
        <f>'Свод 2020'!J53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2020'!H53</f>
        <v>4379.5</v>
      </c>
      <c r="F5" s="22">
        <f>'Свод 2020'!J53</f>
        <v>21.73</v>
      </c>
    </row>
    <row r="6" spans="2:6" ht="30">
      <c r="B6" s="178" t="s">
        <v>321</v>
      </c>
      <c r="C6" s="272">
        <f>'Свод 2020'!K53</f>
        <v>241832.45999999973</v>
      </c>
      <c r="D6" s="273"/>
    </row>
    <row r="7" spans="2:6" ht="15">
      <c r="B7" s="40" t="s">
        <v>322</v>
      </c>
      <c r="C7" s="261">
        <f>'Свод 2020'!L53</f>
        <v>1142130.06</v>
      </c>
      <c r="D7" s="262"/>
    </row>
    <row r="8" spans="2:6" ht="15">
      <c r="B8" s="40" t="s">
        <v>323</v>
      </c>
      <c r="C8" s="261">
        <f>'Свод 2020'!M53</f>
        <v>1090317.05</v>
      </c>
      <c r="D8" s="262"/>
    </row>
    <row r="9" spans="2:6" ht="15">
      <c r="B9" s="40" t="s">
        <v>127</v>
      </c>
      <c r="C9" s="261">
        <f>'Свод 2020'!N53</f>
        <v>0</v>
      </c>
      <c r="D9" s="262"/>
    </row>
    <row r="10" spans="2:6" ht="28.5">
      <c r="B10" s="41" t="s">
        <v>147</v>
      </c>
      <c r="C10" s="274">
        <f>C6+C7-C8+C9</f>
        <v>293645.46999999974</v>
      </c>
      <c r="D10" s="275"/>
      <c r="E10" s="22">
        <f>'Свод 2020'!O53</f>
        <v>293645.46999999974</v>
      </c>
      <c r="F10" s="125"/>
    </row>
    <row r="11" spans="2:6" ht="30">
      <c r="B11" s="178" t="s">
        <v>333</v>
      </c>
      <c r="C11" s="261">
        <f>'Свод 2020'!Q53</f>
        <v>1320.9700000000012</v>
      </c>
      <c r="D11" s="262"/>
    </row>
    <row r="12" spans="2:6" ht="15">
      <c r="B12" s="40" t="s">
        <v>324</v>
      </c>
      <c r="C12" s="261">
        <f>'Свод 2020'!R53</f>
        <v>32214.45</v>
      </c>
      <c r="D12" s="262"/>
    </row>
    <row r="13" spans="2:6" ht="15">
      <c r="B13" s="40" t="s">
        <v>325</v>
      </c>
      <c r="C13" s="261">
        <f>'Свод 2020'!S53</f>
        <v>26854.37</v>
      </c>
      <c r="D13" s="262"/>
    </row>
    <row r="14" spans="2:6" ht="28.5">
      <c r="B14" s="41" t="s">
        <v>151</v>
      </c>
      <c r="C14" s="274">
        <f>C11+C12-C13</f>
        <v>6681.0499999999993</v>
      </c>
      <c r="D14" s="275"/>
      <c r="E14" s="22">
        <f>'Свод 2020'!T53</f>
        <v>6681.0499999999993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2020'!W53</f>
        <v>321104.94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2020'!U53</f>
        <v>3678.78</v>
      </c>
    </row>
    <row r="22" spans="2:5" ht="15">
      <c r="B22" s="46" t="s">
        <v>134</v>
      </c>
      <c r="C22" s="47" t="s">
        <v>60</v>
      </c>
      <c r="D22" s="48">
        <f>'Свод 2020'!V53</f>
        <v>51863.55</v>
      </c>
    </row>
    <row r="23" spans="2:5" ht="30">
      <c r="B23" s="46" t="s">
        <v>161</v>
      </c>
      <c r="C23" s="94" t="s">
        <v>138</v>
      </c>
      <c r="D23" s="48">
        <f>'Свод 2020'!AA53+'Свод 2020'!Z53</f>
        <v>49926.3</v>
      </c>
    </row>
    <row r="24" spans="2:5" ht="28.5" customHeight="1">
      <c r="B24" s="124" t="s">
        <v>141</v>
      </c>
      <c r="C24" s="49" t="s">
        <v>140</v>
      </c>
      <c r="D24" s="209">
        <f>'Свод 2020'!AC53</f>
        <v>3105.42</v>
      </c>
    </row>
    <row r="25" spans="2:5" ht="28.5" customHeight="1">
      <c r="B25" s="154" t="s">
        <v>142</v>
      </c>
      <c r="C25" s="98" t="s">
        <v>143</v>
      </c>
      <c r="D25" s="215">
        <f>'Свод 2020'!AB53</f>
        <v>2102.16</v>
      </c>
    </row>
    <row r="26" spans="2:5" ht="21.75" customHeight="1">
      <c r="B26" s="202" t="s">
        <v>153</v>
      </c>
      <c r="C26" s="47" t="s">
        <v>59</v>
      </c>
      <c r="D26" s="203">
        <f>'Свод 2020'!AD53</f>
        <v>46247.519999999997</v>
      </c>
    </row>
    <row r="27" spans="2:5" ht="30.75" customHeight="1">
      <c r="B27" s="105" t="s">
        <v>144</v>
      </c>
      <c r="C27" s="164" t="s">
        <v>135</v>
      </c>
      <c r="D27" s="283">
        <f>'Свод 2020'!AE53</f>
        <v>170274.96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2020'!AG53</f>
        <v>75677.759999999995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2020'!AI53</f>
        <v>172542.94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2020'!AK53</f>
        <v>94071.66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2020'!AL53</f>
        <v>44670.9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2020'!AM53</f>
        <v>76728.84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2020'!AJ53</f>
        <v>85663.02</v>
      </c>
      <c r="E42" s="22">
        <f>D43-C8-C13</f>
        <v>80487.330000000191</v>
      </c>
    </row>
    <row r="43" spans="2:5" ht="15" thickBot="1">
      <c r="B43" s="229" t="s">
        <v>253</v>
      </c>
      <c r="C43" s="230"/>
      <c r="D43" s="231">
        <f>SUM(D19:D42)</f>
        <v>1197658.7500000002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honeticPr fontId="0" type="noConversion"/>
  <pageMargins left="0.24" right="0.24" top="0.17" bottom="0.24" header="0.17" footer="0.17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104">
    <tabColor rgb="FFFFC000"/>
  </sheetPr>
  <dimension ref="B1:F60"/>
  <sheetViews>
    <sheetView topLeftCell="A38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378</v>
      </c>
      <c r="C3" s="264"/>
      <c r="D3" s="264"/>
    </row>
    <row r="4" spans="2:6" ht="15.75" thickBot="1">
      <c r="B4" s="57" t="s">
        <v>268</v>
      </c>
      <c r="C4" s="226">
        <f>'Свод 2020'!H54</f>
        <v>1328.3</v>
      </c>
      <c r="D4" s="217">
        <f>'Свод 2020'!J54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2020'!H54</f>
        <v>1328.3</v>
      </c>
      <c r="F5" s="22">
        <f>'Свод 2020'!J54</f>
        <v>20.88</v>
      </c>
    </row>
    <row r="6" spans="2:6" ht="30">
      <c r="B6" s="178" t="s">
        <v>321</v>
      </c>
      <c r="C6" s="272">
        <f>'Свод 2020'!K54</f>
        <v>42320.06</v>
      </c>
      <c r="D6" s="273"/>
    </row>
    <row r="7" spans="2:6" ht="15">
      <c r="B7" s="40" t="s">
        <v>322</v>
      </c>
      <c r="C7" s="261">
        <f>'Свод 2020'!L54</f>
        <v>251286.72</v>
      </c>
      <c r="D7" s="262"/>
    </row>
    <row r="8" spans="2:6" ht="15">
      <c r="B8" s="40" t="s">
        <v>323</v>
      </c>
      <c r="C8" s="261">
        <f>'Свод 2020'!M54</f>
        <v>244655.18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48951.600000000035</v>
      </c>
      <c r="D10" s="275"/>
      <c r="E10" s="22">
        <f>'Свод 2020'!O54</f>
        <v>48951.600000000035</v>
      </c>
      <c r="F10" s="125"/>
    </row>
    <row r="11" spans="2:6" ht="30">
      <c r="B11" s="178" t="s">
        <v>333</v>
      </c>
      <c r="C11" s="261">
        <f>'Свод 2020'!Q54</f>
        <v>17654.129999999976</v>
      </c>
      <c r="D11" s="262"/>
    </row>
    <row r="12" spans="2:6" ht="15">
      <c r="B12" s="40" t="s">
        <v>324</v>
      </c>
      <c r="C12" s="261">
        <f>'Свод 2020'!R54</f>
        <v>74028.899999999994</v>
      </c>
      <c r="D12" s="262"/>
    </row>
    <row r="13" spans="2:6" ht="15">
      <c r="B13" s="40" t="s">
        <v>325</v>
      </c>
      <c r="C13" s="261">
        <f>'Свод 2020'!S54</f>
        <v>27712.639999999999</v>
      </c>
      <c r="D13" s="262"/>
    </row>
    <row r="14" spans="2:6" ht="28.5">
      <c r="B14" s="41" t="s">
        <v>151</v>
      </c>
      <c r="C14" s="274">
        <f>C11+C12-C13</f>
        <v>63970.38999999997</v>
      </c>
      <c r="D14" s="275"/>
      <c r="E14" s="22">
        <f>'Свод 2020'!T54</f>
        <v>63970.38999999997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2020'!W54</f>
        <v>97390.96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2020'!U54</f>
        <v>1115.77</v>
      </c>
    </row>
    <row r="22" spans="2:5" ht="15">
      <c r="B22" s="46" t="s">
        <v>134</v>
      </c>
      <c r="C22" s="47" t="s">
        <v>60</v>
      </c>
      <c r="D22" s="48">
        <f>'Свод 2020'!V54</f>
        <v>2072.15</v>
      </c>
    </row>
    <row r="23" spans="2:5" ht="30">
      <c r="B23" s="46" t="s">
        <v>161</v>
      </c>
      <c r="C23" s="94" t="s">
        <v>138</v>
      </c>
      <c r="D23" s="48">
        <f>'Свод 2020'!AA54+'Свод 2020'!Z54</f>
        <v>15142.619999999999</v>
      </c>
    </row>
    <row r="24" spans="2:5" ht="28.5" customHeight="1">
      <c r="B24" s="124" t="s">
        <v>141</v>
      </c>
      <c r="C24" s="49" t="s">
        <v>140</v>
      </c>
      <c r="D24" s="209">
        <f>'Свод 2020'!AC54</f>
        <v>1183.79</v>
      </c>
    </row>
    <row r="25" spans="2:5" ht="28.5" customHeight="1">
      <c r="B25" s="154" t="s">
        <v>142</v>
      </c>
      <c r="C25" s="98" t="s">
        <v>143</v>
      </c>
      <c r="D25" s="215">
        <f>'Свод 2020'!AB54</f>
        <v>637.58000000000004</v>
      </c>
    </row>
    <row r="26" spans="2:5" ht="21.75" customHeight="1">
      <c r="B26" s="202" t="s">
        <v>153</v>
      </c>
      <c r="C26" s="47" t="s">
        <v>59</v>
      </c>
      <c r="D26" s="203">
        <f>'Свод 2020'!AD54</f>
        <v>14026.85</v>
      </c>
    </row>
    <row r="27" spans="2:5" ht="30.75" customHeight="1">
      <c r="B27" s="105" t="s">
        <v>144</v>
      </c>
      <c r="C27" s="164" t="s">
        <v>135</v>
      </c>
      <c r="D27" s="283">
        <f>'Свод 2020'!AE54</f>
        <v>51644.3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2020'!AG54</f>
        <v>22953.02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2020'!AI54</f>
        <v>49572.160000000003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2020'!AK54</f>
        <v>15142.62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2020'!AL54</f>
        <v>13389.26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2020'!AM54</f>
        <v>23271.82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2020'!AJ54</f>
        <v>25981.55</v>
      </c>
      <c r="E42" s="22">
        <f>D43-C8-C13</f>
        <v>61156.630000000019</v>
      </c>
    </row>
    <row r="43" spans="2:5" ht="15.75" thickBot="1">
      <c r="B43" s="229" t="s">
        <v>253</v>
      </c>
      <c r="C43" s="227"/>
      <c r="D43" s="228">
        <f>SUM(D19:D42)</f>
        <v>333524.45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48">
    <tabColor rgb="FFFFC000"/>
  </sheetPr>
  <dimension ref="B1:F60"/>
  <sheetViews>
    <sheetView topLeftCell="A38" workbookViewId="0">
      <selection activeCell="E18" sqref="E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379</v>
      </c>
      <c r="C3" s="264"/>
      <c r="D3" s="264"/>
    </row>
    <row r="4" spans="2:6" ht="15.75" thickBot="1">
      <c r="B4" s="57" t="s">
        <v>269</v>
      </c>
      <c r="C4" s="226">
        <f>'Свод 2020'!H55</f>
        <v>1325.4</v>
      </c>
      <c r="D4" s="217">
        <f>'Свод 2020'!J55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2020'!H55</f>
        <v>1325.4</v>
      </c>
      <c r="F5" s="22">
        <f>'Свод 2020'!J54</f>
        <v>20.88</v>
      </c>
    </row>
    <row r="6" spans="2:6" ht="30">
      <c r="B6" s="178" t="s">
        <v>321</v>
      </c>
      <c r="C6" s="272">
        <f>'Свод 2020'!K55</f>
        <v>39995.830000000016</v>
      </c>
      <c r="D6" s="273"/>
    </row>
    <row r="7" spans="2:6" ht="15">
      <c r="B7" s="40" t="s">
        <v>322</v>
      </c>
      <c r="C7" s="261">
        <f>'Свод 2020'!L55</f>
        <v>249081.60000000001</v>
      </c>
      <c r="D7" s="262"/>
    </row>
    <row r="8" spans="2:6" ht="15">
      <c r="B8" s="40" t="s">
        <v>323</v>
      </c>
      <c r="C8" s="261">
        <f>'Свод 2020'!M55</f>
        <v>268640.89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20436.540000000037</v>
      </c>
      <c r="D10" s="275"/>
      <c r="E10" s="22">
        <f>'Свод 2020'!O55</f>
        <v>20436.540000000037</v>
      </c>
      <c r="F10" s="125"/>
    </row>
    <row r="11" spans="2:6" ht="30">
      <c r="B11" s="178" t="s">
        <v>333</v>
      </c>
      <c r="C11" s="261">
        <f>'Свод 2020'!Q55</f>
        <v>17082.349999999991</v>
      </c>
      <c r="D11" s="262"/>
    </row>
    <row r="12" spans="2:6" ht="15">
      <c r="B12" s="40" t="s">
        <v>324</v>
      </c>
      <c r="C12" s="261">
        <f>'Свод 2020'!R55</f>
        <v>109391.79999999999</v>
      </c>
      <c r="D12" s="262"/>
    </row>
    <row r="13" spans="2:6" ht="15">
      <c r="B13" s="40" t="s">
        <v>325</v>
      </c>
      <c r="C13" s="261">
        <f>'Свод 2020'!S55</f>
        <v>98150.25</v>
      </c>
      <c r="D13" s="262"/>
    </row>
    <row r="14" spans="2:6" ht="28.5">
      <c r="B14" s="41" t="s">
        <v>151</v>
      </c>
      <c r="C14" s="274">
        <f>C11+C12-C13</f>
        <v>28323.89999999998</v>
      </c>
      <c r="D14" s="275"/>
      <c r="E14" s="22">
        <f>'Свод 2020'!T55</f>
        <v>28323.89999999998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2020'!W55</f>
        <v>97178.33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2020'!U55</f>
        <v>1113.3399999999999</v>
      </c>
    </row>
    <row r="22" spans="2:5" ht="15">
      <c r="B22" s="46" t="s">
        <v>134</v>
      </c>
      <c r="C22" s="47" t="s">
        <v>60</v>
      </c>
      <c r="D22" s="48">
        <f>'Свод 2020'!V55</f>
        <v>2067.62</v>
      </c>
    </row>
    <row r="23" spans="2:5" ht="30">
      <c r="B23" s="46" t="s">
        <v>161</v>
      </c>
      <c r="C23" s="94" t="s">
        <v>138</v>
      </c>
      <c r="D23" s="48">
        <f>'Свод 2020'!AA55+'Свод 2020'!Z55</f>
        <v>15109.57</v>
      </c>
    </row>
    <row r="24" spans="2:5" ht="28.5" customHeight="1">
      <c r="B24" s="124" t="s">
        <v>141</v>
      </c>
      <c r="C24" s="49" t="s">
        <v>140</v>
      </c>
      <c r="D24" s="209">
        <f>'Свод 2020'!AC55</f>
        <v>1969.44</v>
      </c>
    </row>
    <row r="25" spans="2:5" ht="28.5" customHeight="1">
      <c r="B25" s="154" t="s">
        <v>142</v>
      </c>
      <c r="C25" s="98" t="s">
        <v>143</v>
      </c>
      <c r="D25" s="215">
        <f>'Свод 2020'!AB55</f>
        <v>636.19000000000005</v>
      </c>
    </row>
    <row r="26" spans="2:5" ht="21.75" customHeight="1">
      <c r="B26" s="202" t="s">
        <v>153</v>
      </c>
      <c r="C26" s="47" t="s">
        <v>59</v>
      </c>
      <c r="D26" s="203">
        <f>'Свод 2020'!AD55</f>
        <v>13996.22</v>
      </c>
    </row>
    <row r="27" spans="2:5" ht="30.75" customHeight="1">
      <c r="B27" s="105" t="s">
        <v>144</v>
      </c>
      <c r="C27" s="164" t="s">
        <v>135</v>
      </c>
      <c r="D27" s="283">
        <f>'Свод 2020'!AE55</f>
        <v>51531.55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2020'!AG55</f>
        <v>22902.91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2020'!AI55</f>
        <v>58745.93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2020'!AK55</f>
        <v>15109.56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2020'!AL55</f>
        <v>20483.03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2020'!AM55</f>
        <v>41081.009999999995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4" t="s">
        <v>163</v>
      </c>
      <c r="C42" s="151" t="s">
        <v>139</v>
      </c>
      <c r="D42" s="221">
        <f>'Свод 2020'!AJ55</f>
        <v>37694.82</v>
      </c>
      <c r="E42" s="22">
        <f>D43-C8-C13</f>
        <v>12828.380000000063</v>
      </c>
    </row>
    <row r="43" spans="2:5" ht="15" thickBot="1">
      <c r="B43" s="229" t="s">
        <v>253</v>
      </c>
      <c r="C43" s="234"/>
      <c r="D43" s="235">
        <f>SUM(D19:D42)</f>
        <v>379619.52000000008</v>
      </c>
    </row>
    <row r="44" spans="2:5" ht="15" customHeight="1">
      <c r="B44" s="232" t="s">
        <v>145</v>
      </c>
      <c r="C44" s="289" t="s">
        <v>146</v>
      </c>
      <c r="D44" s="29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49:D49"/>
    <mergeCell ref="B50:D50"/>
    <mergeCell ref="C9:D9"/>
    <mergeCell ref="C10:D10"/>
    <mergeCell ref="C11:D11"/>
    <mergeCell ref="C12:D12"/>
    <mergeCell ref="C13:D13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2" bottom="0.28000000000000003" header="0.17" footer="0.17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47">
    <tabColor rgb="FFFFC000"/>
  </sheetPr>
  <dimension ref="B1:F60"/>
  <sheetViews>
    <sheetView topLeftCell="A32" workbookViewId="0">
      <selection activeCell="C20" sqref="C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347</v>
      </c>
      <c r="C3" s="264"/>
      <c r="D3" s="264"/>
    </row>
    <row r="4" spans="2:6" ht="15.75" thickBot="1">
      <c r="B4" s="57" t="s">
        <v>270</v>
      </c>
      <c r="C4" s="226">
        <f>'Свод 2020'!H56</f>
        <v>1796</v>
      </c>
      <c r="D4" s="217">
        <f>'Свод 2020'!J56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2020'!H56</f>
        <v>1796</v>
      </c>
      <c r="F5" s="22">
        <f>'Свод 2020'!J56</f>
        <v>21.73</v>
      </c>
    </row>
    <row r="6" spans="2:6" ht="30">
      <c r="B6" s="178" t="s">
        <v>321</v>
      </c>
      <c r="C6" s="272">
        <f>'Свод 2020'!K56</f>
        <v>152678.57000000007</v>
      </c>
      <c r="D6" s="273"/>
    </row>
    <row r="7" spans="2:6" ht="15">
      <c r="B7" s="40" t="s">
        <v>322</v>
      </c>
      <c r="C7" s="261">
        <f>'Свод 2020'!L56</f>
        <v>468324.96</v>
      </c>
      <c r="D7" s="262"/>
    </row>
    <row r="8" spans="2:6" ht="15">
      <c r="B8" s="40" t="s">
        <v>323</v>
      </c>
      <c r="C8" s="261">
        <f>'Свод 2020'!M56</f>
        <v>465004.3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155999.23000000004</v>
      </c>
      <c r="D10" s="275"/>
      <c r="E10" s="22">
        <f>'Свод 2020'!O56</f>
        <v>155999.23000000004</v>
      </c>
      <c r="F10" s="125"/>
    </row>
    <row r="11" spans="2:6" ht="30">
      <c r="B11" s="178" t="s">
        <v>333</v>
      </c>
      <c r="C11" s="261">
        <f>'Свод 2020'!Q56</f>
        <v>789.13000000000011</v>
      </c>
      <c r="D11" s="262"/>
    </row>
    <row r="12" spans="2:6" ht="15">
      <c r="B12" s="40" t="s">
        <v>324</v>
      </c>
      <c r="C12" s="261">
        <f>'Свод 2020'!R56</f>
        <v>3156.53</v>
      </c>
      <c r="D12" s="262"/>
    </row>
    <row r="13" spans="2:6" ht="15">
      <c r="B13" s="40" t="s">
        <v>325</v>
      </c>
      <c r="C13" s="261">
        <f>'Свод 2020'!S56</f>
        <v>630.44000000000005</v>
      </c>
      <c r="D13" s="262"/>
    </row>
    <row r="14" spans="2:6" ht="28.5">
      <c r="B14" s="41" t="s">
        <v>151</v>
      </c>
      <c r="C14" s="274">
        <f>C11+C12-C13</f>
        <v>3315.2200000000003</v>
      </c>
      <c r="D14" s="275"/>
      <c r="E14" s="22">
        <f>'Свод 2020'!T56</f>
        <v>3315.2200000000003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2020'!W56</f>
        <v>131682.72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2020'!U56</f>
        <v>1508.64</v>
      </c>
    </row>
    <row r="22" spans="2:5" ht="15">
      <c r="B22" s="46" t="s">
        <v>134</v>
      </c>
      <c r="C22" s="47" t="s">
        <v>60</v>
      </c>
      <c r="D22" s="48">
        <f>'Свод 2020'!V56</f>
        <v>66306.990000000005</v>
      </c>
    </row>
    <row r="23" spans="2:5" ht="30">
      <c r="B23" s="46" t="s">
        <v>161</v>
      </c>
      <c r="C23" s="94" t="s">
        <v>138</v>
      </c>
      <c r="D23" s="48">
        <f>'Свод 2020'!AA56+'Свод 2020'!Z56</f>
        <v>20474.400000000001</v>
      </c>
    </row>
    <row r="24" spans="2:5" ht="28.5" customHeight="1">
      <c r="B24" s="124" t="s">
        <v>141</v>
      </c>
      <c r="C24" s="49" t="s">
        <v>140</v>
      </c>
      <c r="D24" s="209">
        <f>'Свод 2020'!AC56</f>
        <v>1828.1399999999999</v>
      </c>
    </row>
    <row r="25" spans="2:5" ht="28.5" customHeight="1">
      <c r="B25" s="154" t="s">
        <v>142</v>
      </c>
      <c r="C25" s="98" t="s">
        <v>143</v>
      </c>
      <c r="D25" s="215">
        <f>'Свод 2020'!AB56</f>
        <v>862.08</v>
      </c>
    </row>
    <row r="26" spans="2:5" ht="21.75" customHeight="1">
      <c r="B26" s="202" t="s">
        <v>153</v>
      </c>
      <c r="C26" s="47" t="s">
        <v>59</v>
      </c>
      <c r="D26" s="203">
        <f>'Свод 2020'!AD56</f>
        <v>18965.759999999998</v>
      </c>
    </row>
    <row r="27" spans="2:5" ht="30.75" customHeight="1">
      <c r="B27" s="105" t="s">
        <v>144</v>
      </c>
      <c r="C27" s="164" t="s">
        <v>135</v>
      </c>
      <c r="D27" s="283">
        <f>'Свод 2020'!AE56</f>
        <v>69828.479999999996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2020'!AG56</f>
        <v>31034.880000000001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2020'!AI56</f>
        <v>68676.72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2020'!AK56</f>
        <v>38578.080000000002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2020'!AL56</f>
        <v>18319.2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2020'!AM56</f>
        <v>31465.919999999998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2020'!AJ56</f>
        <v>35129.760000000002</v>
      </c>
      <c r="E42" s="22">
        <f>D43-C8-C13</f>
        <v>69027.030000000028</v>
      </c>
    </row>
    <row r="43" spans="2:5" ht="15" thickBot="1">
      <c r="B43" s="229" t="s">
        <v>253</v>
      </c>
      <c r="C43" s="230"/>
      <c r="D43" s="231">
        <f>SUM(D19:D42)</f>
        <v>534661.77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17" bottom="0.17" header="0.17" footer="0.17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26" enableFormatConditionsCalculation="0">
    <tabColor rgb="FF9999FF"/>
  </sheetPr>
  <dimension ref="B1:F60"/>
  <sheetViews>
    <sheetView topLeftCell="A32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380</v>
      </c>
      <c r="C3" s="264"/>
      <c r="D3" s="264"/>
    </row>
    <row r="4" spans="2:6" ht="15.75" thickBot="1">
      <c r="B4" s="57" t="s">
        <v>271</v>
      </c>
      <c r="C4" s="226">
        <f>'Свод 2020'!H57</f>
        <v>2691.4</v>
      </c>
      <c r="D4" s="217">
        <f>'Свод 2020'!J57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2020'!H57</f>
        <v>2691.4</v>
      </c>
      <c r="F5" s="22">
        <f>'Свод 2020'!J57</f>
        <v>20.88</v>
      </c>
    </row>
    <row r="6" spans="2:6" ht="30">
      <c r="B6" s="178" t="s">
        <v>321</v>
      </c>
      <c r="C6" s="272">
        <f>'Свод 2020'!K57</f>
        <v>129844.55000000016</v>
      </c>
      <c r="D6" s="273"/>
    </row>
    <row r="7" spans="2:6" ht="15">
      <c r="B7" s="40" t="s">
        <v>322</v>
      </c>
      <c r="C7" s="261">
        <f>'Свод 2020'!L57</f>
        <v>674357.28</v>
      </c>
      <c r="D7" s="262"/>
    </row>
    <row r="8" spans="2:6" ht="15">
      <c r="B8" s="40" t="s">
        <v>323</v>
      </c>
      <c r="C8" s="261">
        <f>'Свод 2020'!M57</f>
        <v>631992.43000000005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172209.40000000014</v>
      </c>
      <c r="D10" s="275"/>
      <c r="E10" s="22">
        <f>'Свод 2020'!O57</f>
        <v>172209.40000000014</v>
      </c>
      <c r="F10" s="125"/>
    </row>
    <row r="11" spans="2:6" ht="30">
      <c r="B11" s="178" t="s">
        <v>333</v>
      </c>
      <c r="C11" s="261">
        <f>'Свод 2020'!Q57</f>
        <v>1199.58</v>
      </c>
      <c r="D11" s="262"/>
    </row>
    <row r="12" spans="2:6" ht="15">
      <c r="B12" s="40" t="s">
        <v>324</v>
      </c>
      <c r="C12" s="261">
        <f>'Свод 2020'!R57</f>
        <v>5281.09</v>
      </c>
      <c r="D12" s="262"/>
    </row>
    <row r="13" spans="2:6" ht="15">
      <c r="B13" s="40" t="s">
        <v>325</v>
      </c>
      <c r="C13" s="261">
        <f>'Свод 2020'!S57</f>
        <v>1481.37</v>
      </c>
      <c r="D13" s="262"/>
    </row>
    <row r="14" spans="2:6" ht="28.5">
      <c r="B14" s="41" t="s">
        <v>151</v>
      </c>
      <c r="C14" s="274">
        <f>C11+C12-C13</f>
        <v>4999.3</v>
      </c>
      <c r="D14" s="275"/>
      <c r="E14" s="22">
        <f>'Свод 2020'!T57</f>
        <v>4999.3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2020'!W57</f>
        <v>197333.45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2020'!U57</f>
        <v>2260.7800000000002</v>
      </c>
    </row>
    <row r="22" spans="2:5" ht="15">
      <c r="B22" s="46" t="s">
        <v>134</v>
      </c>
      <c r="C22" s="47" t="s">
        <v>60</v>
      </c>
      <c r="D22" s="48">
        <f>'Свод 2020'!V57</f>
        <v>54177.47</v>
      </c>
    </row>
    <row r="23" spans="2:5" ht="30">
      <c r="B23" s="46" t="s">
        <v>161</v>
      </c>
      <c r="C23" s="94" t="s">
        <v>138</v>
      </c>
      <c r="D23" s="48">
        <f>'Свод 2020'!AA57+'Свод 2020'!Z57</f>
        <v>30681.97</v>
      </c>
    </row>
    <row r="24" spans="2:5" ht="28.5" customHeight="1">
      <c r="B24" s="124" t="s">
        <v>141</v>
      </c>
      <c r="C24" s="49" t="s">
        <v>140</v>
      </c>
      <c r="D24" s="209">
        <f>'Свод 2020'!AC57</f>
        <v>1762.55</v>
      </c>
    </row>
    <row r="25" spans="2:5" ht="28.5" customHeight="1">
      <c r="B25" s="154" t="s">
        <v>142</v>
      </c>
      <c r="C25" s="98" t="s">
        <v>143</v>
      </c>
      <c r="D25" s="215">
        <f>'Свод 2020'!AB57</f>
        <v>1291.8699999999999</v>
      </c>
    </row>
    <row r="26" spans="2:5" ht="21.75" customHeight="1">
      <c r="B26" s="202" t="s">
        <v>153</v>
      </c>
      <c r="C26" s="47" t="s">
        <v>59</v>
      </c>
      <c r="D26" s="203">
        <f>'Свод 2020'!AD57</f>
        <v>28421.18</v>
      </c>
    </row>
    <row r="27" spans="2:5" ht="30.75" customHeight="1">
      <c r="B27" s="105" t="s">
        <v>144</v>
      </c>
      <c r="C27" s="164" t="s">
        <v>135</v>
      </c>
      <c r="D27" s="283">
        <f>'Свод 2020'!AE57</f>
        <v>104641.63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2020'!AG57</f>
        <v>46507.39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2020'!AI57</f>
        <v>103193.05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2020'!AK57</f>
        <v>30681.96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2020'!AL57</f>
        <v>27129.31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2020'!AM57</f>
        <v>47153.33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2020'!AJ57</f>
        <v>52643.78</v>
      </c>
      <c r="E42" s="22">
        <f>D43-C8-C13</f>
        <v>94405.920000000042</v>
      </c>
    </row>
    <row r="43" spans="2:5" ht="15" thickBot="1">
      <c r="B43" s="229" t="s">
        <v>253</v>
      </c>
      <c r="C43" s="230"/>
      <c r="D43" s="231">
        <f>SUM(D19:D42)</f>
        <v>727879.72000000009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D27:D30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17" right="0.19" top="0.28999999999999998" bottom="0.25" header="0.24" footer="0.17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topLeftCell="A38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381</v>
      </c>
      <c r="C3" s="264"/>
      <c r="D3" s="264"/>
    </row>
    <row r="4" spans="2:6" ht="15.75" thickBot="1">
      <c r="B4" s="57" t="s">
        <v>272</v>
      </c>
      <c r="C4" s="216">
        <f>'Свод 2020'!H58</f>
        <v>2995</v>
      </c>
      <c r="D4" s="217">
        <f>'Свод 2020'!J58</f>
        <v>33.450000000000003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2020'!H58</f>
        <v>2995</v>
      </c>
      <c r="F5" s="22">
        <f>'Свод 2020'!J58</f>
        <v>33.450000000000003</v>
      </c>
    </row>
    <row r="6" spans="2:6" ht="30">
      <c r="B6" s="178" t="s">
        <v>321</v>
      </c>
      <c r="C6" s="272">
        <f>'Свод 2020'!K58</f>
        <v>484553.04</v>
      </c>
      <c r="D6" s="273"/>
    </row>
    <row r="7" spans="2:6" ht="15">
      <c r="B7" s="40" t="s">
        <v>322</v>
      </c>
      <c r="C7" s="261">
        <f>'Свод 2020'!L58</f>
        <v>1052191.2</v>
      </c>
      <c r="D7" s="262"/>
    </row>
    <row r="8" spans="2:6" ht="15">
      <c r="B8" s="40" t="s">
        <v>323</v>
      </c>
      <c r="C8" s="261">
        <f>'Свод 2020'!M58</f>
        <v>1146721.21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'Свод 2020'!O58</f>
        <v>390023.03</v>
      </c>
      <c r="D10" s="275"/>
      <c r="E10" s="22">
        <f>'Свод 2020'!O58</f>
        <v>390023.03</v>
      </c>
      <c r="F10" s="125"/>
    </row>
    <row r="11" spans="2:6" ht="30">
      <c r="B11" s="178" t="s">
        <v>333</v>
      </c>
      <c r="C11" s="261">
        <f>'Свод 2020'!Q58</f>
        <v>244945.4</v>
      </c>
      <c r="D11" s="262"/>
    </row>
    <row r="12" spans="2:6" ht="15">
      <c r="B12" s="40" t="s">
        <v>324</v>
      </c>
      <c r="C12" s="261">
        <f>'Свод 2020'!R58</f>
        <v>139530.26</v>
      </c>
      <c r="D12" s="262"/>
    </row>
    <row r="13" spans="2:6" ht="15">
      <c r="B13" s="40" t="s">
        <v>325</v>
      </c>
      <c r="C13" s="261">
        <f>'Свод 2020'!S58</f>
        <v>113109.59</v>
      </c>
      <c r="D13" s="262"/>
    </row>
    <row r="14" spans="2:6" ht="28.5">
      <c r="B14" s="41" t="s">
        <v>151</v>
      </c>
      <c r="C14" s="274">
        <f>C11+C12-C13</f>
        <v>271366.07000000007</v>
      </c>
      <c r="D14" s="275"/>
      <c r="E14" s="22">
        <f>'Свод 2020'!T58</f>
        <v>271366.07000000007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2020'!W58</f>
        <v>219593.4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2020'!U58</f>
        <v>2515.8000000000002</v>
      </c>
    </row>
    <row r="22" spans="2:5" ht="15">
      <c r="B22" s="46" t="s">
        <v>134</v>
      </c>
      <c r="C22" s="47" t="s">
        <v>60</v>
      </c>
      <c r="D22" s="48">
        <f>'Свод 2020'!V58</f>
        <v>4672.2</v>
      </c>
    </row>
    <row r="23" spans="2:5" ht="30">
      <c r="B23" s="46" t="s">
        <v>161</v>
      </c>
      <c r="C23" s="94" t="s">
        <v>138</v>
      </c>
      <c r="D23" s="48">
        <f>'Свод 2020'!AA58+'Свод 2020'!Z58</f>
        <v>34143</v>
      </c>
    </row>
    <row r="24" spans="2:5" ht="28.5" customHeight="1">
      <c r="B24" s="124" t="s">
        <v>141</v>
      </c>
      <c r="C24" s="49" t="s">
        <v>140</v>
      </c>
      <c r="D24" s="209">
        <f>'Свод 2020'!AC58</f>
        <v>1871.85</v>
      </c>
    </row>
    <row r="25" spans="2:5" ht="28.5" customHeight="1">
      <c r="B25" s="220" t="s">
        <v>142</v>
      </c>
      <c r="C25" s="49" t="s">
        <v>143</v>
      </c>
      <c r="D25" s="209">
        <f>'Свод 2020'!AB58</f>
        <v>1437.6</v>
      </c>
    </row>
    <row r="26" spans="2:5" ht="21.75" customHeight="1" thickBot="1">
      <c r="B26" s="172" t="s">
        <v>153</v>
      </c>
      <c r="C26" s="173" t="s">
        <v>59</v>
      </c>
      <c r="D26" s="174">
        <f>'Свод 2020'!AD58</f>
        <v>31627.200000000001</v>
      </c>
    </row>
    <row r="27" spans="2:5" ht="30.75" customHeight="1">
      <c r="B27" s="95" t="s">
        <v>144</v>
      </c>
      <c r="C27" s="150" t="s">
        <v>135</v>
      </c>
      <c r="D27" s="286">
        <f>'Свод 2020'!AE58</f>
        <v>116445.6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02" t="s">
        <v>273</v>
      </c>
      <c r="C31" s="164" t="s">
        <v>166</v>
      </c>
      <c r="D31" s="209">
        <f>'Свод 2020'!Y58</f>
        <v>449790.6</v>
      </c>
    </row>
    <row r="32" spans="2:5" ht="30">
      <c r="B32" s="175" t="s">
        <v>158</v>
      </c>
      <c r="C32" s="164" t="s">
        <v>166</v>
      </c>
      <c r="D32" s="176">
        <f>'Свод 2020'!AG58</f>
        <v>51753.599999999999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2020'!AI58</f>
        <v>84099.6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2020'!AK58</f>
        <v>89037.6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2020'!AL58</f>
        <v>30549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2020'!AM58</f>
        <v>70332.399999999994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2020'!AJ58</f>
        <v>74914.2</v>
      </c>
      <c r="E43" s="22">
        <f>D44-C8-C13</f>
        <v>2952.8499999999476</v>
      </c>
    </row>
    <row r="44" spans="2:5" ht="15" thickBot="1">
      <c r="B44" s="229" t="s">
        <v>253</v>
      </c>
      <c r="C44" s="230"/>
      <c r="D44" s="231">
        <f>SUM(D19:D43)</f>
        <v>1262783.6499999999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 ht="0.75" customHeight="1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ageMargins left="0.25" right="0.25" top="0.75" bottom="0.75" header="0.3" footer="0.3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3">
    <tabColor rgb="FF9999FF"/>
  </sheetPr>
  <dimension ref="B1:F60"/>
  <sheetViews>
    <sheetView topLeftCell="A35" workbookViewId="0">
      <selection activeCell="B51" sqref="B51:D51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382</v>
      </c>
      <c r="C3" s="264"/>
      <c r="D3" s="264"/>
    </row>
    <row r="4" spans="2:6" ht="15.75" thickBot="1">
      <c r="B4" s="57" t="s">
        <v>274</v>
      </c>
      <c r="C4" s="226">
        <f>'Свод 2020'!H59</f>
        <v>1263.5999999999999</v>
      </c>
      <c r="D4" s="217">
        <f>'Свод 2020'!J59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2020'!H59</f>
        <v>1263.5999999999999</v>
      </c>
      <c r="F5" s="22">
        <f>'Свод 2020'!J59</f>
        <v>20.88</v>
      </c>
    </row>
    <row r="6" spans="2:6" ht="30">
      <c r="B6" s="178" t="s">
        <v>321</v>
      </c>
      <c r="C6" s="272">
        <f>'Свод 2020'!K59</f>
        <v>38164.330000000016</v>
      </c>
      <c r="D6" s="273"/>
    </row>
    <row r="7" spans="2:6" ht="15">
      <c r="B7" s="40" t="s">
        <v>322</v>
      </c>
      <c r="C7" s="261">
        <f>'Свод 2020'!L59</f>
        <v>302375.76</v>
      </c>
      <c r="D7" s="262"/>
    </row>
    <row r="8" spans="2:6" ht="15">
      <c r="B8" s="40" t="s">
        <v>323</v>
      </c>
      <c r="C8" s="261">
        <f>'Свод 2020'!M59</f>
        <v>292971.59000000003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47568.5</v>
      </c>
      <c r="D10" s="275"/>
      <c r="E10" s="22">
        <f>'Свод 2020'!O59</f>
        <v>47568.5</v>
      </c>
      <c r="F10" s="125"/>
    </row>
    <row r="11" spans="2:6" ht="30">
      <c r="B11" s="178" t="s">
        <v>333</v>
      </c>
      <c r="C11" s="261">
        <f>'Свод 2020'!Q59</f>
        <v>1750</v>
      </c>
      <c r="D11" s="262"/>
    </row>
    <row r="12" spans="2:6" ht="15">
      <c r="B12" s="40" t="s">
        <v>324</v>
      </c>
      <c r="C12" s="261">
        <f>'Свод 2020'!R59</f>
        <v>32890.43</v>
      </c>
      <c r="D12" s="262"/>
    </row>
    <row r="13" spans="2:6" ht="15">
      <c r="B13" s="40" t="s">
        <v>325</v>
      </c>
      <c r="C13" s="261">
        <f>'Свод 2020'!S59</f>
        <v>32540.43</v>
      </c>
      <c r="D13" s="262"/>
    </row>
    <row r="14" spans="2:6" ht="28.5">
      <c r="B14" s="41" t="s">
        <v>151</v>
      </c>
      <c r="C14" s="274">
        <f>C11+C12-C13</f>
        <v>2100</v>
      </c>
      <c r="D14" s="275"/>
      <c r="E14" s="22">
        <f>'Свод 2020'!T59</f>
        <v>2100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2020'!W59</f>
        <v>92647.15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2020'!U59</f>
        <v>1061.42</v>
      </c>
    </row>
    <row r="22" spans="2:5" ht="15">
      <c r="B22" s="46" t="s">
        <v>134</v>
      </c>
      <c r="C22" s="47" t="s">
        <v>60</v>
      </c>
      <c r="D22" s="48">
        <f>'Свод 2020'!V59</f>
        <v>4244.47</v>
      </c>
    </row>
    <row r="23" spans="2:5" ht="30">
      <c r="B23" s="46" t="s">
        <v>161</v>
      </c>
      <c r="C23" s="94" t="s">
        <v>138</v>
      </c>
      <c r="D23" s="48">
        <f>'Свод 2020'!AA59+'Свод 2020'!Z59</f>
        <v>14405.029999999999</v>
      </c>
    </row>
    <row r="24" spans="2:5" ht="28.5" customHeight="1">
      <c r="B24" s="124" t="s">
        <v>141</v>
      </c>
      <c r="C24" s="49" t="s">
        <v>140</v>
      </c>
      <c r="D24" s="209">
        <f>'Свод 2020'!AC59</f>
        <v>3124.26</v>
      </c>
    </row>
    <row r="25" spans="2:5" ht="28.5" customHeight="1">
      <c r="B25" s="154" t="s">
        <v>142</v>
      </c>
      <c r="C25" s="98" t="s">
        <v>143</v>
      </c>
      <c r="D25" s="215">
        <f>'Свод 2020'!AB59</f>
        <v>606.53</v>
      </c>
    </row>
    <row r="26" spans="2:5" ht="21.75" customHeight="1">
      <c r="B26" s="202" t="s">
        <v>153</v>
      </c>
      <c r="C26" s="47" t="s">
        <v>59</v>
      </c>
      <c r="D26" s="203">
        <f>'Свод 2020'!AD59</f>
        <v>13343.62</v>
      </c>
    </row>
    <row r="27" spans="2:5" ht="30.75" customHeight="1">
      <c r="B27" s="105" t="s">
        <v>144</v>
      </c>
      <c r="C27" s="164" t="s">
        <v>135</v>
      </c>
      <c r="D27" s="283">
        <f>'Свод 2020'!AE59</f>
        <v>49128.77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2020'!AG59</f>
        <v>21835.01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2020'!AI59</f>
        <v>97907.15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2020'!AK59</f>
        <v>14405.04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2020'!AL59</f>
        <v>12737.09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2020'!AM59</f>
        <v>22138.27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2020'!AJ59</f>
        <v>24716.02</v>
      </c>
      <c r="E42" s="22">
        <f>D43-C8-C13</f>
        <v>46787.80999999999</v>
      </c>
    </row>
    <row r="43" spans="2:5" ht="15" thickBot="1">
      <c r="B43" s="229" t="s">
        <v>253</v>
      </c>
      <c r="C43" s="230"/>
      <c r="D43" s="231">
        <f>SUM(D19:D42)</f>
        <v>372299.83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C8:D8"/>
    <mergeCell ref="C9:D9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8" bottom="0.17" header="0.17" footer="0.17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4">
    <tabColor rgb="FF9999FF"/>
  </sheetPr>
  <dimension ref="B1:F60"/>
  <sheetViews>
    <sheetView topLeftCell="A35" workbookViewId="0">
      <selection activeCell="D19" sqref="D19:E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370</v>
      </c>
      <c r="C3" s="264"/>
      <c r="D3" s="264"/>
    </row>
    <row r="4" spans="2:6" ht="15.75" thickBot="1">
      <c r="B4" s="57" t="s">
        <v>275</v>
      </c>
      <c r="C4" s="226">
        <f>'Свод 2020'!H60</f>
        <v>1986.8</v>
      </c>
      <c r="D4" s="217">
        <f>'Свод 2020'!J60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2020'!H60</f>
        <v>1986.8</v>
      </c>
      <c r="F5" s="22">
        <f>'Свод 2020'!J60</f>
        <v>20.88</v>
      </c>
    </row>
    <row r="6" spans="2:6" ht="30">
      <c r="B6" s="178" t="s">
        <v>321</v>
      </c>
      <c r="C6" s="272">
        <f>'Свод 2020'!K60</f>
        <v>94616.13</v>
      </c>
      <c r="D6" s="273"/>
    </row>
    <row r="7" spans="2:6" ht="15">
      <c r="B7" s="40" t="s">
        <v>322</v>
      </c>
      <c r="C7" s="261">
        <f>'Свод 2020'!L60</f>
        <v>475951.2</v>
      </c>
      <c r="D7" s="262"/>
    </row>
    <row r="8" spans="2:6" ht="15">
      <c r="B8" s="40" t="s">
        <v>323</v>
      </c>
      <c r="C8" s="261">
        <f>'Свод 2020'!M60</f>
        <v>464646.44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105920.89000000007</v>
      </c>
      <c r="D10" s="275"/>
      <c r="E10" s="22">
        <f>'Свод 2020'!O60</f>
        <v>105764.29000000007</v>
      </c>
      <c r="F10" s="125"/>
    </row>
    <row r="11" spans="2:6" ht="30">
      <c r="B11" s="178" t="s">
        <v>333</v>
      </c>
      <c r="C11" s="261">
        <f>'Свод 2020'!Q60</f>
        <v>7275.6399999999994</v>
      </c>
      <c r="D11" s="262"/>
    </row>
    <row r="12" spans="2:6" ht="15">
      <c r="B12" s="40" t="s">
        <v>324</v>
      </c>
      <c r="C12" s="261">
        <f>'Свод 2020'!R60</f>
        <v>56051.05</v>
      </c>
      <c r="D12" s="262"/>
    </row>
    <row r="13" spans="2:6" ht="15">
      <c r="B13" s="40" t="s">
        <v>325</v>
      </c>
      <c r="C13" s="261">
        <f>'Свод 2020'!S60</f>
        <v>43306.53</v>
      </c>
      <c r="D13" s="262"/>
    </row>
    <row r="14" spans="2:6" ht="28.5">
      <c r="B14" s="41" t="s">
        <v>151</v>
      </c>
      <c r="C14" s="274">
        <f>C11+C12-C13</f>
        <v>20020.160000000003</v>
      </c>
      <c r="D14" s="275"/>
      <c r="E14" s="22">
        <f>'Свод 2020'!T60</f>
        <v>20020.160000000003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2020'!W60</f>
        <v>145672.18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2020'!U60</f>
        <v>1668.91</v>
      </c>
    </row>
    <row r="22" spans="2:5" ht="15">
      <c r="B22" s="46" t="s">
        <v>134</v>
      </c>
      <c r="C22" s="47" t="s">
        <v>60</v>
      </c>
      <c r="D22" s="48">
        <f>'Свод 2020'!V60</f>
        <v>6885.0499999999993</v>
      </c>
    </row>
    <row r="23" spans="2:5" ht="30">
      <c r="B23" s="46" t="s">
        <v>161</v>
      </c>
      <c r="C23" s="94" t="s">
        <v>138</v>
      </c>
      <c r="D23" s="48">
        <f>'Свод 2020'!AA60+'Свод 2020'!Z60</f>
        <v>22649.519999999997</v>
      </c>
    </row>
    <row r="24" spans="2:5" ht="28.5" customHeight="1">
      <c r="B24" s="124" t="s">
        <v>141</v>
      </c>
      <c r="C24" s="49" t="s">
        <v>140</v>
      </c>
      <c r="D24" s="209">
        <f>'Свод 2020'!AC60</f>
        <v>3586.99</v>
      </c>
    </row>
    <row r="25" spans="2:5" ht="28.5" customHeight="1">
      <c r="B25" s="154" t="s">
        <v>142</v>
      </c>
      <c r="C25" s="98" t="s">
        <v>143</v>
      </c>
      <c r="D25" s="215">
        <f>'Свод 2020'!AB60</f>
        <v>953.66</v>
      </c>
    </row>
    <row r="26" spans="2:5" ht="21.75" customHeight="1">
      <c r="B26" s="202" t="s">
        <v>153</v>
      </c>
      <c r="C26" s="47" t="s">
        <v>59</v>
      </c>
      <c r="D26" s="203">
        <f>'Свод 2020'!AD60</f>
        <v>20980.61</v>
      </c>
    </row>
    <row r="27" spans="2:5" ht="30.75" customHeight="1">
      <c r="B27" s="105" t="s">
        <v>144</v>
      </c>
      <c r="C27" s="164" t="s">
        <v>135</v>
      </c>
      <c r="D27" s="283">
        <f>'Свод 2020'!AE60</f>
        <v>77246.78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2020'!AG60</f>
        <v>34331.9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2020'!AI60</f>
        <v>110534.38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2020'!AK60</f>
        <v>22649.52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2020'!AL60</f>
        <v>20026.939999999999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2020'!AM60</f>
        <v>34808.74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2020'!AJ60</f>
        <v>110461.81</v>
      </c>
      <c r="E42" s="22">
        <f>D43-C8-C13</f>
        <v>104504.01999999999</v>
      </c>
    </row>
    <row r="43" spans="2:5" ht="15" thickBot="1">
      <c r="B43" s="229" t="s">
        <v>253</v>
      </c>
      <c r="C43" s="230"/>
      <c r="D43" s="231">
        <f>SUM(D19:D42)</f>
        <v>612456.99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18" bottom="0.17" header="0.2" footer="0.17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6">
    <tabColor rgb="FF9999FF"/>
  </sheetPr>
  <dimension ref="B1:F60"/>
  <sheetViews>
    <sheetView topLeftCell="A35" workbookViewId="0">
      <selection activeCell="C23" sqref="C23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383</v>
      </c>
      <c r="C3" s="264"/>
      <c r="D3" s="264"/>
    </row>
    <row r="4" spans="2:6" ht="15.75" thickBot="1">
      <c r="B4" s="57" t="s">
        <v>276</v>
      </c>
      <c r="C4" s="226">
        <f>'Свод 2020'!H61</f>
        <v>1587.7</v>
      </c>
      <c r="D4" s="217">
        <f>'Свод 2020'!J61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2020'!H61</f>
        <v>1587.7</v>
      </c>
      <c r="F5" s="22">
        <f>'Свод 2020'!J61</f>
        <v>20.88</v>
      </c>
    </row>
    <row r="6" spans="2:6" ht="30">
      <c r="B6" s="178" t="s">
        <v>321</v>
      </c>
      <c r="C6" s="272">
        <f>'Свод 2020'!K61</f>
        <v>156942.02999999997</v>
      </c>
      <c r="D6" s="273"/>
    </row>
    <row r="7" spans="2:6" ht="15">
      <c r="B7" s="40" t="s">
        <v>322</v>
      </c>
      <c r="C7" s="261">
        <f>'Свод 2020'!L61</f>
        <v>342114.72</v>
      </c>
      <c r="D7" s="262"/>
    </row>
    <row r="8" spans="2:6" ht="15">
      <c r="B8" s="40" t="s">
        <v>323</v>
      </c>
      <c r="C8" s="261">
        <f>'Свод 2020'!M61</f>
        <v>356481.47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142575.27999999997</v>
      </c>
      <c r="D10" s="275"/>
      <c r="E10" s="22">
        <f>'Свод 2020'!O61</f>
        <v>142575.27999999997</v>
      </c>
      <c r="F10" s="125"/>
    </row>
    <row r="11" spans="2:6" ht="30">
      <c r="B11" s="178" t="s">
        <v>333</v>
      </c>
      <c r="C11" s="261">
        <f>'Свод 2020'!Q61</f>
        <v>8377.6600000000035</v>
      </c>
      <c r="D11" s="262"/>
    </row>
    <row r="12" spans="2:6" ht="15">
      <c r="B12" s="40" t="s">
        <v>324</v>
      </c>
      <c r="C12" s="261">
        <f>'Свод 2020'!R61</f>
        <v>59742.44</v>
      </c>
      <c r="D12" s="262"/>
    </row>
    <row r="13" spans="2:6" ht="15">
      <c r="B13" s="40" t="s">
        <v>325</v>
      </c>
      <c r="C13" s="261">
        <f>'Свод 2020'!S61</f>
        <v>57834.86</v>
      </c>
      <c r="D13" s="262"/>
    </row>
    <row r="14" spans="2:6" ht="28.5">
      <c r="B14" s="41" t="s">
        <v>151</v>
      </c>
      <c r="C14" s="274">
        <f>C11+C12-C13</f>
        <v>10285.240000000005</v>
      </c>
      <c r="D14" s="275"/>
      <c r="E14" s="22">
        <f>'Свод 2020'!T61</f>
        <v>10285.240000000005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2020'!W61</f>
        <v>116410.16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2020'!U61</f>
        <v>1333.67</v>
      </c>
    </row>
    <row r="22" spans="2:5" ht="15">
      <c r="B22" s="46" t="s">
        <v>134</v>
      </c>
      <c r="C22" s="47" t="s">
        <v>60</v>
      </c>
      <c r="D22" s="48">
        <f>'Свод 2020'!V61</f>
        <v>2476.81</v>
      </c>
    </row>
    <row r="23" spans="2:5" ht="30">
      <c r="B23" s="46" t="s">
        <v>161</v>
      </c>
      <c r="C23" s="94" t="s">
        <v>138</v>
      </c>
      <c r="D23" s="48">
        <f>'Свод 2020'!AA61+'Свод 2020'!Z61</f>
        <v>18099.78</v>
      </c>
    </row>
    <row r="24" spans="2:5" ht="28.5" customHeight="1">
      <c r="B24" s="124" t="s">
        <v>141</v>
      </c>
      <c r="C24" s="49" t="s">
        <v>140</v>
      </c>
      <c r="D24" s="209">
        <f>'Свод 2020'!AC61</f>
        <v>1585.29</v>
      </c>
    </row>
    <row r="25" spans="2:5" ht="28.5" customHeight="1">
      <c r="B25" s="154" t="s">
        <v>142</v>
      </c>
      <c r="C25" s="98" t="s">
        <v>143</v>
      </c>
      <c r="D25" s="215">
        <f>'Свод 2020'!AB61</f>
        <v>762.1</v>
      </c>
    </row>
    <row r="26" spans="2:5" ht="21.75" customHeight="1">
      <c r="B26" s="202" t="s">
        <v>153</v>
      </c>
      <c r="C26" s="47" t="s">
        <v>59</v>
      </c>
      <c r="D26" s="203">
        <f>'Свод 2020'!AD61</f>
        <v>16766.11</v>
      </c>
    </row>
    <row r="27" spans="2:5" ht="30.75" customHeight="1">
      <c r="B27" s="105" t="s">
        <v>144</v>
      </c>
      <c r="C27" s="164" t="s">
        <v>135</v>
      </c>
      <c r="D27" s="283">
        <f>'Свод 2020'!AE61</f>
        <v>61729.78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2020'!AG61</f>
        <v>27435.46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2020'!AI61</f>
        <v>92295.56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2020'!AK61</f>
        <v>18099.78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2020'!AL61</f>
        <v>16004.02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2020'!AM61</f>
        <v>27816.5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2020'!AJ61</f>
        <v>31055.41</v>
      </c>
      <c r="E42" s="22">
        <f>D43-C8-C13</f>
        <v>17554.10000000002</v>
      </c>
    </row>
    <row r="43" spans="2:5" ht="15" thickBot="1">
      <c r="B43" s="237" t="s">
        <v>253</v>
      </c>
      <c r="C43" s="230"/>
      <c r="D43" s="238">
        <f>SUM(D19:D42)</f>
        <v>431870.43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honeticPr fontId="0" type="noConversion"/>
  <pageMargins left="0.24" right="0.24" top="0.18" bottom="0.27" header="0.17" footer="0.18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6" enableFormatConditionsCalculation="0">
    <tabColor rgb="FFFFFFCC"/>
  </sheetPr>
  <dimension ref="B1:F60"/>
  <sheetViews>
    <sheetView topLeftCell="A38" workbookViewId="0">
      <selection activeCell="F19" sqref="F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341</v>
      </c>
      <c r="C3" s="264"/>
      <c r="D3" s="264"/>
    </row>
    <row r="4" spans="2:6" ht="15.75" thickBot="1">
      <c r="B4" s="57" t="s">
        <v>214</v>
      </c>
      <c r="C4" s="226">
        <f>'Свод 2020'!H8</f>
        <v>2730</v>
      </c>
      <c r="D4" s="217">
        <f>'Свод 2020'!J8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2020'!H8</f>
        <v>2730</v>
      </c>
    </row>
    <row r="6" spans="2:6" ht="30">
      <c r="B6" s="178" t="s">
        <v>321</v>
      </c>
      <c r="C6" s="272">
        <f>'Свод 2020'!K8</f>
        <v>208438.56000000006</v>
      </c>
      <c r="D6" s="273"/>
    </row>
    <row r="7" spans="2:6" ht="15">
      <c r="B7" s="40" t="s">
        <v>322</v>
      </c>
      <c r="C7" s="261">
        <f>'Свод 2020'!L8</f>
        <v>673204.56</v>
      </c>
      <c r="D7" s="262"/>
    </row>
    <row r="8" spans="2:6" ht="15">
      <c r="B8" s="40" t="s">
        <v>323</v>
      </c>
      <c r="C8" s="261">
        <f>'Свод 2020'!M8</f>
        <v>668346.19999999995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213296.92000000016</v>
      </c>
      <c r="D10" s="275"/>
      <c r="E10" s="22">
        <f>'Свод 2020'!O8</f>
        <v>213296.92000000016</v>
      </c>
      <c r="F10" s="125"/>
    </row>
    <row r="11" spans="2:6" ht="30">
      <c r="B11" s="178" t="s">
        <v>333</v>
      </c>
      <c r="C11" s="261">
        <f>'Свод 2020'!Q8</f>
        <v>-1550.4500000000007</v>
      </c>
      <c r="D11" s="262"/>
    </row>
    <row r="12" spans="2:6" ht="15">
      <c r="B12" s="40" t="s">
        <v>324</v>
      </c>
      <c r="C12" s="261">
        <f>'Свод 2020'!R8</f>
        <v>19081.169999999998</v>
      </c>
      <c r="D12" s="262"/>
    </row>
    <row r="13" spans="2:6" ht="15">
      <c r="B13" s="40" t="s">
        <v>325</v>
      </c>
      <c r="C13" s="261">
        <f>'Свод 2020'!S8</f>
        <v>5232.47</v>
      </c>
      <c r="D13" s="262"/>
    </row>
    <row r="14" spans="2:6" ht="28.5">
      <c r="B14" s="41" t="s">
        <v>151</v>
      </c>
      <c r="C14" s="274">
        <f>C11+C12-C13</f>
        <v>12298.249999999996</v>
      </c>
      <c r="D14" s="275"/>
      <c r="E14" s="22">
        <f>'Свод 2020'!T8</f>
        <v>12298.249999999996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2020'!W8</f>
        <v>200163.6</v>
      </c>
    </row>
    <row r="20" spans="2:5" ht="15.75" thickBot="1">
      <c r="B20" s="158" t="s">
        <v>152</v>
      </c>
      <c r="C20" s="97" t="s">
        <v>143</v>
      </c>
      <c r="D20" s="284"/>
      <c r="E20" t="s">
        <v>176</v>
      </c>
    </row>
    <row r="21" spans="2:5" ht="30">
      <c r="B21" s="105" t="s">
        <v>160</v>
      </c>
      <c r="C21" s="106" t="s">
        <v>157</v>
      </c>
      <c r="D21" s="170">
        <f>'Свод 2020'!U8</f>
        <v>2293.1999999999998</v>
      </c>
    </row>
    <row r="22" spans="2:5" ht="15">
      <c r="B22" s="46" t="s">
        <v>134</v>
      </c>
      <c r="C22" s="47" t="s">
        <v>170</v>
      </c>
      <c r="D22" s="48">
        <f>'Свод 2020'!V8</f>
        <v>52594.86</v>
      </c>
    </row>
    <row r="23" spans="2:5" ht="30">
      <c r="B23" s="46" t="s">
        <v>161</v>
      </c>
      <c r="C23" s="94" t="s">
        <v>138</v>
      </c>
      <c r="D23" s="48">
        <f>'Свод 2020'!AA8+'Свод 2020'!Z8</f>
        <v>31122</v>
      </c>
    </row>
    <row r="24" spans="2:5" ht="28.5" customHeight="1">
      <c r="B24" s="124" t="s">
        <v>141</v>
      </c>
      <c r="C24" s="49" t="s">
        <v>140</v>
      </c>
      <c r="D24" s="209">
        <f>'Свод 2020'!AC8</f>
        <v>2341.6499999999996</v>
      </c>
    </row>
    <row r="25" spans="2:5" ht="28.5" customHeight="1">
      <c r="B25" s="154" t="s">
        <v>142</v>
      </c>
      <c r="C25" s="98" t="s">
        <v>143</v>
      </c>
      <c r="D25" s="209">
        <f>'Свод 2020'!AB8</f>
        <v>1310.4000000000001</v>
      </c>
    </row>
    <row r="26" spans="2:5" ht="21.75" customHeight="1">
      <c r="B26" s="202" t="s">
        <v>153</v>
      </c>
      <c r="C26" s="47" t="s">
        <v>59</v>
      </c>
      <c r="D26" s="203">
        <f>'Свод 2020'!AD8</f>
        <v>28828.799999999999</v>
      </c>
    </row>
    <row r="27" spans="2:5" ht="30.75" customHeight="1">
      <c r="B27" s="105" t="s">
        <v>144</v>
      </c>
      <c r="C27" s="164" t="s">
        <v>135</v>
      </c>
      <c r="D27" s="283">
        <f>'Свод 2020'!AE8</f>
        <v>106142.39999999999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2020'!AG8</f>
        <v>47174.400000000001</v>
      </c>
    </row>
    <row r="32" spans="2:5" ht="30">
      <c r="B32" s="148" t="s">
        <v>133</v>
      </c>
      <c r="C32" s="53"/>
      <c r="D32" s="54"/>
    </row>
    <row r="33" spans="2:5" ht="59.25">
      <c r="B33" s="124" t="s">
        <v>179</v>
      </c>
      <c r="C33" s="94" t="s">
        <v>178</v>
      </c>
      <c r="D33" s="89">
        <f>'Свод 2020'!AI8</f>
        <v>101883.6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2020'!AK8</f>
        <v>31122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2020'!AL8</f>
        <v>27518.400000000001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2020'!AM8</f>
        <v>47829.599999999999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2020'!AJ8</f>
        <v>53398.8</v>
      </c>
      <c r="E42" s="22">
        <f>D43-C8-C13</f>
        <v>60145.040000000125</v>
      </c>
    </row>
    <row r="43" spans="2:5" ht="15" thickBot="1">
      <c r="B43" s="229" t="s">
        <v>253</v>
      </c>
      <c r="C43" s="230"/>
      <c r="D43" s="231">
        <f>SUM(D19:D42)</f>
        <v>733723.71000000008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honeticPr fontId="0" type="noConversion"/>
  <pageMargins left="0.24" right="0.24" top="0.24" bottom="0.21" header="0.18" footer="0.17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27">
    <tabColor rgb="FF9999FF"/>
  </sheetPr>
  <dimension ref="B1:F60"/>
  <sheetViews>
    <sheetView topLeftCell="A38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347</v>
      </c>
      <c r="C3" s="264"/>
      <c r="D3" s="264"/>
    </row>
    <row r="4" spans="2:6" ht="15.75" thickBot="1">
      <c r="B4" s="57" t="s">
        <v>277</v>
      </c>
      <c r="C4" s="226">
        <f>'Свод 2020'!H62</f>
        <v>2689.4</v>
      </c>
      <c r="D4" s="217">
        <f>'Свод 2020'!J62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2020'!H62</f>
        <v>2689.4</v>
      </c>
      <c r="F5" s="22">
        <f>'Свод 2020'!J62</f>
        <v>21.73</v>
      </c>
    </row>
    <row r="6" spans="2:6" ht="30">
      <c r="B6" s="178" t="s">
        <v>321</v>
      </c>
      <c r="C6" s="272">
        <f>'Свод 2020'!K62</f>
        <v>103041.47000000032</v>
      </c>
      <c r="D6" s="273"/>
    </row>
    <row r="7" spans="2:6" ht="15">
      <c r="B7" s="40" t="s">
        <v>322</v>
      </c>
      <c r="C7" s="261">
        <f>'Свод 2020'!L62</f>
        <v>701288.64</v>
      </c>
      <c r="D7" s="262"/>
    </row>
    <row r="8" spans="2:6" ht="15">
      <c r="B8" s="40" t="s">
        <v>323</v>
      </c>
      <c r="C8" s="261">
        <f>'Свод 2020'!M62</f>
        <v>702385.11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101945.00000000035</v>
      </c>
      <c r="D10" s="275"/>
      <c r="E10" s="22">
        <f>'Свод 2020'!O62</f>
        <v>101945.00000000035</v>
      </c>
      <c r="F10" s="125"/>
    </row>
    <row r="11" spans="2:6" ht="30">
      <c r="B11" s="178" t="s">
        <v>333</v>
      </c>
      <c r="C11" s="261">
        <f>'Свод 2020'!Q62</f>
        <v>2520.5500000000011</v>
      </c>
      <c r="D11" s="262"/>
    </row>
    <row r="12" spans="2:6" ht="15">
      <c r="B12" s="40" t="s">
        <v>324</v>
      </c>
      <c r="C12" s="261">
        <f>'Свод 2020'!R62</f>
        <v>9754.77</v>
      </c>
      <c r="D12" s="262"/>
    </row>
    <row r="13" spans="2:6" ht="15">
      <c r="B13" s="40" t="s">
        <v>325</v>
      </c>
      <c r="C13" s="261">
        <f>'Свод 2020'!S62</f>
        <v>5232.47</v>
      </c>
      <c r="D13" s="262"/>
    </row>
    <row r="14" spans="2:6" ht="28.5">
      <c r="B14" s="41" t="s">
        <v>151</v>
      </c>
      <c r="C14" s="274">
        <f>C11+C12-C13</f>
        <v>7042.8500000000013</v>
      </c>
      <c r="D14" s="275"/>
      <c r="E14" s="22">
        <f>'Свод 2020'!T62</f>
        <v>7042.8500000000013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2020'!W62</f>
        <v>197186.81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2020'!U62</f>
        <v>2259.1</v>
      </c>
    </row>
    <row r="22" spans="2:5" ht="15">
      <c r="B22" s="46" t="s">
        <v>134</v>
      </c>
      <c r="C22" s="47" t="s">
        <v>60</v>
      </c>
      <c r="D22" s="48">
        <f>'Свод 2020'!V62</f>
        <v>48977.18</v>
      </c>
    </row>
    <row r="23" spans="2:5" ht="30">
      <c r="B23" s="46" t="s">
        <v>161</v>
      </c>
      <c r="C23" s="94" t="s">
        <v>138</v>
      </c>
      <c r="D23" s="48">
        <f>'Свод 2020'!AA62+'Свод 2020'!Z62</f>
        <v>30659.17</v>
      </c>
    </row>
    <row r="24" spans="2:5" ht="28.5" customHeight="1">
      <c r="B24" s="124" t="s">
        <v>141</v>
      </c>
      <c r="C24" s="49" t="s">
        <v>140</v>
      </c>
      <c r="D24" s="209">
        <f>'Свод 2020'!AC62</f>
        <v>1395.9499999999998</v>
      </c>
    </row>
    <row r="25" spans="2:5" ht="28.5" customHeight="1" thickBot="1">
      <c r="B25" s="154" t="s">
        <v>142</v>
      </c>
      <c r="C25" s="98" t="s">
        <v>143</v>
      </c>
      <c r="D25" s="215">
        <f>'Свод 2020'!AB62</f>
        <v>1290.9100000000001</v>
      </c>
    </row>
    <row r="26" spans="2:5" ht="21.75" customHeight="1" thickBot="1">
      <c r="B26" s="99" t="s">
        <v>153</v>
      </c>
      <c r="C26" s="239" t="s">
        <v>59</v>
      </c>
      <c r="D26" s="240">
        <f>'Свод 2020'!AD62</f>
        <v>28400.06</v>
      </c>
    </row>
    <row r="27" spans="2:5" ht="30.75" customHeight="1">
      <c r="B27" s="95" t="s">
        <v>144</v>
      </c>
      <c r="C27" s="150" t="s">
        <v>135</v>
      </c>
      <c r="D27" s="286">
        <f>'Свод 2020'!AE62</f>
        <v>104563.87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2020'!AG62</f>
        <v>46472.83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2020'!AI62</f>
        <v>100368.41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2020'!AK62</f>
        <v>57768.31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2020'!AL62</f>
        <v>27431.88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2020'!AM62</f>
        <v>47118.29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2020'!AJ62</f>
        <v>52604.66</v>
      </c>
      <c r="E42" s="22">
        <f>D43-C8-C13</f>
        <v>38879.85000000018</v>
      </c>
    </row>
    <row r="43" spans="2:5" ht="15" thickBot="1">
      <c r="B43" s="229" t="s">
        <v>253</v>
      </c>
      <c r="C43" s="230"/>
      <c r="D43" s="231">
        <f>SUM(D19:D42)</f>
        <v>746497.43000000017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17" bottom="0.17" header="0.22" footer="0.17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28">
    <tabColor rgb="FF9999FF"/>
  </sheetPr>
  <dimension ref="B1:F61"/>
  <sheetViews>
    <sheetView topLeftCell="A38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384</v>
      </c>
      <c r="C3" s="264"/>
      <c r="D3" s="264"/>
    </row>
    <row r="4" spans="2:6" ht="15.75" thickBot="1">
      <c r="B4" s="57" t="s">
        <v>278</v>
      </c>
      <c r="C4" s="226">
        <f>'Свод 2020'!H63</f>
        <v>1909.8</v>
      </c>
      <c r="D4" s="217">
        <f>'Свод 2020'!J63</f>
        <v>23.27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2020'!H63</f>
        <v>1909.8</v>
      </c>
      <c r="F5" s="22">
        <f>'Свод 2020'!J63</f>
        <v>23.27</v>
      </c>
    </row>
    <row r="6" spans="2:6" ht="30">
      <c r="B6" s="178" t="s">
        <v>321</v>
      </c>
      <c r="C6" s="272">
        <f>'Свод 2020'!K63</f>
        <v>37862.999999999884</v>
      </c>
      <c r="D6" s="273"/>
    </row>
    <row r="7" spans="2:6" ht="15">
      <c r="B7" s="40" t="s">
        <v>322</v>
      </c>
      <c r="C7" s="261">
        <f>'Свод 2020'!L63</f>
        <v>408891.12</v>
      </c>
      <c r="D7" s="262"/>
    </row>
    <row r="8" spans="2:6" ht="15">
      <c r="B8" s="40" t="s">
        <v>323</v>
      </c>
      <c r="C8" s="261">
        <f>'Свод 2020'!M63</f>
        <v>410484.66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36269.459999999905</v>
      </c>
      <c r="D10" s="275"/>
      <c r="E10" s="22">
        <f>'Свод 2020'!O63</f>
        <v>36269.459999999905</v>
      </c>
      <c r="F10" s="125"/>
    </row>
    <row r="11" spans="2:6" ht="30">
      <c r="B11" s="178" t="s">
        <v>333</v>
      </c>
      <c r="C11" s="261">
        <f>'Свод 2020'!Q63</f>
        <v>2110.0999999999913</v>
      </c>
      <c r="D11" s="262"/>
    </row>
    <row r="12" spans="2:6" ht="15">
      <c r="B12" s="40" t="s">
        <v>324</v>
      </c>
      <c r="C12" s="261">
        <f>'Свод 2020'!R63</f>
        <v>78801.239999999991</v>
      </c>
      <c r="D12" s="262"/>
    </row>
    <row r="13" spans="2:6" ht="15">
      <c r="B13" s="40" t="s">
        <v>325</v>
      </c>
      <c r="C13" s="261">
        <f>'Свод 2020'!S63</f>
        <v>77552.569999999992</v>
      </c>
      <c r="D13" s="262"/>
    </row>
    <row r="14" spans="2:6" ht="28.5">
      <c r="B14" s="41" t="s">
        <v>151</v>
      </c>
      <c r="C14" s="274">
        <f>C11+C12-C13</f>
        <v>3358.7699999999895</v>
      </c>
      <c r="D14" s="275"/>
      <c r="E14" s="22">
        <f>'Свод 2020'!T63</f>
        <v>3358.7699999999895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2020'!W63</f>
        <v>140026.54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2020'!U63</f>
        <v>1604.23</v>
      </c>
    </row>
    <row r="22" spans="2:5" ht="15">
      <c r="B22" s="46" t="s">
        <v>134</v>
      </c>
      <c r="C22" s="47" t="s">
        <v>60</v>
      </c>
      <c r="D22" s="48">
        <f>'Свод 2020'!V63</f>
        <v>56889.98</v>
      </c>
    </row>
    <row r="23" spans="2:5" ht="30">
      <c r="B23" s="46" t="s">
        <v>161</v>
      </c>
      <c r="C23" s="94" t="s">
        <v>138</v>
      </c>
      <c r="D23" s="48">
        <f>'Свод 2020'!AA63+'Свод 2020'!Z63</f>
        <v>21771.72</v>
      </c>
    </row>
    <row r="24" spans="2:5" ht="28.5" customHeight="1">
      <c r="B24" s="124" t="s">
        <v>141</v>
      </c>
      <c r="C24" s="49" t="s">
        <v>140</v>
      </c>
      <c r="D24" s="209">
        <f>'Свод 2020'!AC63</f>
        <v>1540.42</v>
      </c>
    </row>
    <row r="25" spans="2:5" ht="28.5" customHeight="1">
      <c r="B25" s="154" t="s">
        <v>142</v>
      </c>
      <c r="C25" s="98" t="s">
        <v>143</v>
      </c>
      <c r="D25" s="215">
        <f>'Свод 2020'!AB63</f>
        <v>916.7</v>
      </c>
    </row>
    <row r="26" spans="2:5" ht="21.75" customHeight="1">
      <c r="B26" s="202" t="s">
        <v>153</v>
      </c>
      <c r="C26" s="47" t="s">
        <v>59</v>
      </c>
      <c r="D26" s="203">
        <f>'Свод 2020'!AD63</f>
        <v>0</v>
      </c>
    </row>
    <row r="27" spans="2:5" ht="30.75" customHeight="1">
      <c r="B27" s="105" t="s">
        <v>144</v>
      </c>
      <c r="C27" s="164" t="s">
        <v>135</v>
      </c>
      <c r="D27" s="283">
        <f>'Свод 2020'!AE63</f>
        <v>74253.02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43" t="s">
        <v>243</v>
      </c>
      <c r="C31" s="94" t="s">
        <v>61</v>
      </c>
      <c r="D31" s="244">
        <f>'Свод 2020'!X63</f>
        <v>55460.59</v>
      </c>
    </row>
    <row r="32" spans="2:5" ht="30">
      <c r="B32" s="175" t="s">
        <v>158</v>
      </c>
      <c r="C32" s="164" t="s">
        <v>166</v>
      </c>
      <c r="D32" s="176">
        <f>'Свод 2020'!AG63</f>
        <v>33001.339999999997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2020'!AI63</f>
        <v>71273.740000000005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2020'!AK63</f>
        <v>41022.5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2020'!AL63</f>
        <v>19479.96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2020'!AM63</f>
        <v>33459.699999999997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2020'!AJ63</f>
        <v>37355.69</v>
      </c>
      <c r="E43" s="22">
        <f>D44-C8-C13</f>
        <v>100018.90000000015</v>
      </c>
    </row>
    <row r="44" spans="2:5" ht="15" thickBot="1">
      <c r="B44" s="229" t="s">
        <v>253</v>
      </c>
      <c r="C44" s="230"/>
      <c r="D44" s="231">
        <f>SUM(D19:D43)</f>
        <v>588056.13000000012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215</v>
      </c>
      <c r="C47" s="269"/>
      <c r="D47" s="269"/>
    </row>
    <row r="48" spans="2:5" ht="14.25">
      <c r="B48" s="121"/>
      <c r="C48" s="121"/>
      <c r="D48" s="121"/>
    </row>
    <row r="49" spans="2:4">
      <c r="B49" s="19"/>
      <c r="C49" s="19"/>
      <c r="D49" s="18"/>
    </row>
    <row r="50" spans="2:4" ht="20.25">
      <c r="B50" s="263" t="s">
        <v>87</v>
      </c>
      <c r="C50" s="263"/>
      <c r="D50" s="263"/>
    </row>
    <row r="51" spans="2:4" ht="20.25">
      <c r="B51" s="263" t="s">
        <v>50</v>
      </c>
      <c r="C51" s="263"/>
      <c r="D51" s="263"/>
    </row>
    <row r="52" spans="2:4" ht="20.25">
      <c r="B52" s="263" t="s">
        <v>49</v>
      </c>
      <c r="C52" s="263"/>
      <c r="D52" s="263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 ht="15.75">
      <c r="B55" s="102" t="s">
        <v>64</v>
      </c>
      <c r="C55" s="102"/>
    </row>
    <row r="61" spans="2:4" ht="20.25">
      <c r="B61" s="103"/>
    </row>
  </sheetData>
  <mergeCells count="24">
    <mergeCell ref="B52:D52"/>
    <mergeCell ref="D27:D30"/>
    <mergeCell ref="C45:D46"/>
    <mergeCell ref="B47:D47"/>
    <mergeCell ref="B50:D50"/>
    <mergeCell ref="B51:D51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17" bottom="0.21" header="0.17" footer="0.17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29">
    <tabColor rgb="FF9999FF"/>
  </sheetPr>
  <dimension ref="B1:F60"/>
  <sheetViews>
    <sheetView topLeftCell="A32" workbookViewId="0">
      <selection activeCell="E19" sqref="E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385</v>
      </c>
      <c r="C3" s="264"/>
      <c r="D3" s="264"/>
    </row>
    <row r="4" spans="2:6" ht="15.75" thickBot="1">
      <c r="B4" s="57" t="s">
        <v>279</v>
      </c>
      <c r="C4" s="226">
        <f>'Свод 2020'!H64</f>
        <v>2677.3</v>
      </c>
      <c r="D4" s="217">
        <f>'Свод 2020'!J64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2020'!H64</f>
        <v>2677.3</v>
      </c>
      <c r="F5" s="22">
        <f>'Свод 2020'!J64</f>
        <v>21.73</v>
      </c>
    </row>
    <row r="6" spans="2:6" ht="30">
      <c r="B6" s="178" t="s">
        <v>321</v>
      </c>
      <c r="C6" s="272">
        <f>'Свод 2020'!K64</f>
        <v>213788.45999999996</v>
      </c>
      <c r="D6" s="273"/>
    </row>
    <row r="7" spans="2:6" ht="15">
      <c r="B7" s="40" t="s">
        <v>322</v>
      </c>
      <c r="C7" s="261">
        <f>'Свод 2020'!L64</f>
        <v>698132.64</v>
      </c>
      <c r="D7" s="262"/>
    </row>
    <row r="8" spans="2:6" ht="15">
      <c r="B8" s="40" t="s">
        <v>323</v>
      </c>
      <c r="C8" s="261">
        <f>'Свод 2020'!M64</f>
        <v>677769.38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234151.71999999997</v>
      </c>
      <c r="D10" s="275"/>
      <c r="E10" s="22">
        <f>'Свод 2020'!O64</f>
        <v>234151.71999999997</v>
      </c>
      <c r="F10" s="125"/>
    </row>
    <row r="11" spans="2:6" ht="30">
      <c r="B11" s="178" t="s">
        <v>333</v>
      </c>
      <c r="C11" s="261">
        <f>'Свод 2020'!Q64</f>
        <v>2520.5500000000011</v>
      </c>
      <c r="D11" s="262"/>
    </row>
    <row r="12" spans="2:6" ht="15">
      <c r="B12" s="40" t="s">
        <v>324</v>
      </c>
      <c r="C12" s="261">
        <f>'Свод 2020'!R64</f>
        <v>9754.77</v>
      </c>
      <c r="D12" s="262"/>
    </row>
    <row r="13" spans="2:6" ht="15">
      <c r="B13" s="40" t="s">
        <v>325</v>
      </c>
      <c r="C13" s="261">
        <f>'Свод 2020'!S64</f>
        <v>5232.47</v>
      </c>
      <c r="D13" s="262"/>
    </row>
    <row r="14" spans="2:6" ht="28.5">
      <c r="B14" s="41" t="s">
        <v>151</v>
      </c>
      <c r="C14" s="274">
        <f>C11+C12-C13</f>
        <v>7042.8500000000013</v>
      </c>
      <c r="D14" s="275"/>
      <c r="E14" s="22">
        <f>'Свод 2020'!T64</f>
        <v>7042.8500000000013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2020'!W64</f>
        <v>196299.64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2020'!U64</f>
        <v>2248.9299999999998</v>
      </c>
    </row>
    <row r="22" spans="2:5" ht="15">
      <c r="B22" s="46" t="s">
        <v>134</v>
      </c>
      <c r="C22" s="47" t="s">
        <v>60</v>
      </c>
      <c r="D22" s="48">
        <f>'Свод 2020'!V64</f>
        <v>37046.81</v>
      </c>
    </row>
    <row r="23" spans="2:5" ht="30">
      <c r="B23" s="46" t="s">
        <v>161</v>
      </c>
      <c r="C23" s="94" t="s">
        <v>138</v>
      </c>
      <c r="D23" s="48">
        <f>'Свод 2020'!AA64+'Свод 2020'!Z64</f>
        <v>30521.219999999998</v>
      </c>
    </row>
    <row r="24" spans="2:5" ht="28.5" customHeight="1">
      <c r="B24" s="124" t="s">
        <v>141</v>
      </c>
      <c r="C24" s="49" t="s">
        <v>140</v>
      </c>
      <c r="D24" s="209">
        <f>'Свод 2020'!AC64</f>
        <v>3115.25</v>
      </c>
    </row>
    <row r="25" spans="2:5" ht="28.5" customHeight="1">
      <c r="B25" s="154" t="s">
        <v>142</v>
      </c>
      <c r="C25" s="98" t="s">
        <v>143</v>
      </c>
      <c r="D25" s="215">
        <f>'Свод 2020'!AB64</f>
        <v>1285.0999999999999</v>
      </c>
    </row>
    <row r="26" spans="2:5" ht="21.75" customHeight="1">
      <c r="B26" s="202" t="s">
        <v>153</v>
      </c>
      <c r="C26" s="47" t="s">
        <v>59</v>
      </c>
      <c r="D26" s="203">
        <f>'Свод 2020'!AD64</f>
        <v>28272.29</v>
      </c>
    </row>
    <row r="27" spans="2:5" ht="30.75" customHeight="1">
      <c r="B27" s="105" t="s">
        <v>144</v>
      </c>
      <c r="C27" s="164" t="s">
        <v>135</v>
      </c>
      <c r="D27" s="283">
        <f>'Свод 2020'!AE64</f>
        <v>104093.42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2020'!AG64</f>
        <v>46263.74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2020'!AI64</f>
        <v>99916.84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2020'!AK64</f>
        <v>57508.4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2020'!AL64</f>
        <v>27308.46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2020'!AM64</f>
        <v>46906.3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2020'!AJ64</f>
        <v>52367.99</v>
      </c>
      <c r="E42" s="22">
        <f>D43-C8-C13</f>
        <v>50152.539999999892</v>
      </c>
    </row>
    <row r="43" spans="2:5" ht="15" thickBot="1">
      <c r="B43" s="229" t="s">
        <v>253</v>
      </c>
      <c r="C43" s="230"/>
      <c r="D43" s="231">
        <f>SUM(D19:D42)</f>
        <v>733154.3899999999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17" bottom="0.17" header="0.17" footer="0.17"/>
  <pageSetup paperSize="9" orientation="portrait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30">
    <tabColor rgb="FF9999FF"/>
  </sheetPr>
  <dimension ref="B1:F60"/>
  <sheetViews>
    <sheetView topLeftCell="A35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349</v>
      </c>
      <c r="C3" s="264"/>
      <c r="D3" s="264"/>
    </row>
    <row r="4" spans="2:6" ht="15.75" thickBot="1">
      <c r="B4" s="57" t="s">
        <v>165</v>
      </c>
      <c r="C4" s="119" t="s">
        <v>164</v>
      </c>
      <c r="D4" s="216">
        <f>'Свод 2020'!J65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2020'!H65</f>
        <v>2687.5</v>
      </c>
      <c r="F5" s="22">
        <f>'Свод 2020'!J64</f>
        <v>21.73</v>
      </c>
    </row>
    <row r="6" spans="2:6" ht="30">
      <c r="B6" s="178" t="s">
        <v>321</v>
      </c>
      <c r="C6" s="272">
        <f>'Свод 2020'!K65</f>
        <v>272372.23999999976</v>
      </c>
      <c r="D6" s="273"/>
    </row>
    <row r="7" spans="2:6" ht="15">
      <c r="B7" s="40" t="s">
        <v>322</v>
      </c>
      <c r="C7" s="261">
        <f>'Свод 2020'!L65</f>
        <v>700740.84</v>
      </c>
      <c r="D7" s="262"/>
    </row>
    <row r="8" spans="2:6" ht="15">
      <c r="B8" s="40" t="s">
        <v>323</v>
      </c>
      <c r="C8" s="261">
        <f>'Свод 2020'!M65</f>
        <v>747777.91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225335.16999999969</v>
      </c>
      <c r="D10" s="275"/>
      <c r="E10" s="22">
        <f>'Свод 2020'!O65</f>
        <v>225335.16999999969</v>
      </c>
      <c r="F10" s="125"/>
    </row>
    <row r="11" spans="2:6" ht="30">
      <c r="B11" s="178" t="s">
        <v>333</v>
      </c>
      <c r="C11" s="261">
        <f>'Свод 2020'!Q65</f>
        <v>2520.5500000000011</v>
      </c>
      <c r="D11" s="262"/>
    </row>
    <row r="12" spans="2:6" ht="15">
      <c r="B12" s="40" t="s">
        <v>324</v>
      </c>
      <c r="C12" s="261">
        <f>'Свод 2020'!R65</f>
        <v>9754.77</v>
      </c>
      <c r="D12" s="262"/>
    </row>
    <row r="13" spans="2:6" ht="15">
      <c r="B13" s="40" t="s">
        <v>325</v>
      </c>
      <c r="C13" s="261">
        <f>'Свод 2020'!S65</f>
        <v>8232.4699999999993</v>
      </c>
      <c r="D13" s="262"/>
    </row>
    <row r="14" spans="2:6" ht="28.5">
      <c r="B14" s="41" t="s">
        <v>151</v>
      </c>
      <c r="C14" s="274">
        <f>C11+C12-C13</f>
        <v>4042.8500000000022</v>
      </c>
      <c r="D14" s="275"/>
      <c r="E14" s="22">
        <f>'Свод 2020'!T65</f>
        <v>4042.8500000000022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2020'!W65</f>
        <v>197047.5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2020'!U65</f>
        <v>2257.5</v>
      </c>
    </row>
    <row r="22" spans="2:5" ht="15">
      <c r="B22" s="46" t="s">
        <v>134</v>
      </c>
      <c r="C22" s="47" t="s">
        <v>60</v>
      </c>
      <c r="D22" s="48">
        <f>'Свод 2020'!V65</f>
        <v>86383.14</v>
      </c>
    </row>
    <row r="23" spans="2:5" ht="30">
      <c r="B23" s="46" t="s">
        <v>161</v>
      </c>
      <c r="C23" s="94" t="s">
        <v>138</v>
      </c>
      <c r="D23" s="48">
        <f>'Свод 2020'!AA65+'Свод 2020'!Z65</f>
        <v>30637.5</v>
      </c>
    </row>
    <row r="24" spans="2:5" ht="28.5" customHeight="1">
      <c r="B24" s="124" t="s">
        <v>141</v>
      </c>
      <c r="C24" s="49" t="s">
        <v>140</v>
      </c>
      <c r="D24" s="209">
        <f>'Свод 2020'!AC65</f>
        <v>1539.33</v>
      </c>
    </row>
    <row r="25" spans="2:5" ht="28.5" customHeight="1">
      <c r="B25" s="154" t="s">
        <v>142</v>
      </c>
      <c r="C25" s="98" t="s">
        <v>143</v>
      </c>
      <c r="D25" s="215">
        <f>'Свод 2020'!AB65</f>
        <v>1290</v>
      </c>
    </row>
    <row r="26" spans="2:5" ht="21.75" customHeight="1">
      <c r="B26" s="202" t="s">
        <v>153</v>
      </c>
      <c r="C26" s="47" t="s">
        <v>59</v>
      </c>
      <c r="D26" s="203">
        <f>'Свод 2020'!AD65</f>
        <v>28380</v>
      </c>
    </row>
    <row r="27" spans="2:5" ht="30.75" customHeight="1">
      <c r="B27" s="105" t="s">
        <v>144</v>
      </c>
      <c r="C27" s="164" t="s">
        <v>135</v>
      </c>
      <c r="D27" s="283">
        <f>'Свод 2020'!AE65</f>
        <v>104490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2020'!AG65</f>
        <v>46440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2020'!AI65</f>
        <v>100297.5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2020'!AK65</f>
        <v>57727.5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2020'!AL65</f>
        <v>27412.5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2020'!AM65</f>
        <v>47085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2020'!AJ65</f>
        <v>52567.5</v>
      </c>
      <c r="E42" s="22">
        <f>D43-C8-C13</f>
        <v>27544.589999999938</v>
      </c>
    </row>
    <row r="43" spans="2:5" ht="15" thickBot="1">
      <c r="B43" s="229" t="s">
        <v>280</v>
      </c>
      <c r="C43" s="230"/>
      <c r="D43" s="231">
        <f>SUM(D19:D42)</f>
        <v>783554.97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17" right="0.18" top="0.2" bottom="0.17" header="0.17" footer="0.17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55">
    <tabColor rgb="FF9999FF"/>
  </sheetPr>
  <dimension ref="B1:F60"/>
  <sheetViews>
    <sheetView topLeftCell="A32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386</v>
      </c>
      <c r="C3" s="264"/>
      <c r="D3" s="264"/>
    </row>
    <row r="4" spans="2:6" ht="15.75" thickBot="1">
      <c r="B4" s="57" t="s">
        <v>281</v>
      </c>
      <c r="C4" s="226">
        <f>'Свод 2020'!H66</f>
        <v>2004.7</v>
      </c>
      <c r="D4" s="217">
        <f>'Свод 2020'!J66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2020'!H66</f>
        <v>2004.7</v>
      </c>
      <c r="F5" s="22">
        <f>'Свод 2020'!J66</f>
        <v>20.88</v>
      </c>
    </row>
    <row r="6" spans="2:6" ht="30">
      <c r="B6" s="178" t="s">
        <v>321</v>
      </c>
      <c r="C6" s="272">
        <f>'Свод 2020'!K66</f>
        <v>94212.249999999942</v>
      </c>
      <c r="D6" s="273"/>
    </row>
    <row r="7" spans="2:6" ht="15">
      <c r="B7" s="40" t="s">
        <v>322</v>
      </c>
      <c r="C7" s="261">
        <f>'Свод 2020'!L66</f>
        <v>501984.48</v>
      </c>
      <c r="D7" s="262"/>
    </row>
    <row r="8" spans="2:6" ht="15">
      <c r="B8" s="40" t="s">
        <v>323</v>
      </c>
      <c r="C8" s="261">
        <f>'Свод 2020'!M66</f>
        <v>506038.64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90158.089999999967</v>
      </c>
      <c r="D10" s="275"/>
      <c r="E10" s="22">
        <f>'Свод 2020'!O66</f>
        <v>90158.089999999967</v>
      </c>
      <c r="F10" s="125"/>
    </row>
    <row r="11" spans="2:6" ht="30">
      <c r="B11" s="178" t="s">
        <v>333</v>
      </c>
      <c r="C11" s="261">
        <f>'Свод 2020'!Q66</f>
        <v>1750</v>
      </c>
      <c r="D11" s="262"/>
    </row>
    <row r="12" spans="2:6" ht="15">
      <c r="B12" s="40" t="s">
        <v>324</v>
      </c>
      <c r="C12" s="261">
        <f>'Свод 2020'!R66</f>
        <v>8400</v>
      </c>
      <c r="D12" s="262"/>
    </row>
    <row r="13" spans="2:6" ht="15">
      <c r="B13" s="40" t="s">
        <v>325</v>
      </c>
      <c r="C13" s="261">
        <f>'Свод 2020'!S66</f>
        <v>8050</v>
      </c>
      <c r="D13" s="262"/>
    </row>
    <row r="14" spans="2:6" ht="28.5">
      <c r="B14" s="41" t="s">
        <v>151</v>
      </c>
      <c r="C14" s="274">
        <f>C11+C12-C13</f>
        <v>2100</v>
      </c>
      <c r="D14" s="275"/>
      <c r="E14" s="22">
        <f>'Свод 2020'!T66</f>
        <v>2100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2020'!W66</f>
        <v>146984.6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2020'!U66</f>
        <v>1683.95</v>
      </c>
    </row>
    <row r="22" spans="2:5" ht="15">
      <c r="B22" s="46" t="s">
        <v>134</v>
      </c>
      <c r="C22" s="47" t="s">
        <v>60</v>
      </c>
      <c r="D22" s="48">
        <f>'Свод 2020'!V66</f>
        <v>54077.33</v>
      </c>
    </row>
    <row r="23" spans="2:5" ht="30">
      <c r="B23" s="46" t="s">
        <v>161</v>
      </c>
      <c r="C23" s="94" t="s">
        <v>138</v>
      </c>
      <c r="D23" s="48">
        <f>'Свод 2020'!AA66+'Свод 2020'!Z66</f>
        <v>22853.58</v>
      </c>
    </row>
    <row r="24" spans="2:5" ht="28.5" customHeight="1">
      <c r="B24" s="124" t="s">
        <v>141</v>
      </c>
      <c r="C24" s="49" t="s">
        <v>140</v>
      </c>
      <c r="D24" s="209">
        <f>'Свод 2020'!AC66</f>
        <v>2303.71</v>
      </c>
    </row>
    <row r="25" spans="2:5" ht="28.5" customHeight="1">
      <c r="B25" s="154" t="s">
        <v>142</v>
      </c>
      <c r="C25" s="98" t="s">
        <v>143</v>
      </c>
      <c r="D25" s="215">
        <f>'Свод 2020'!AB66</f>
        <v>962.26</v>
      </c>
    </row>
    <row r="26" spans="2:5" ht="21.75" customHeight="1">
      <c r="B26" s="202" t="s">
        <v>153</v>
      </c>
      <c r="C26" s="47" t="s">
        <v>59</v>
      </c>
      <c r="D26" s="203">
        <f>'Свод 2020'!AD66</f>
        <v>21169.63</v>
      </c>
    </row>
    <row r="27" spans="2:5" ht="30.75" customHeight="1">
      <c r="B27" s="105" t="s">
        <v>144</v>
      </c>
      <c r="C27" s="164" t="s">
        <v>135</v>
      </c>
      <c r="D27" s="283">
        <f>'Свод 2020'!AE66</f>
        <v>77942.740000000005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2020'!AG66</f>
        <v>34641.22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2020'!AI66</f>
        <v>74815.399999999994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2020'!AK66</f>
        <v>22853.58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2020'!AL66</f>
        <v>20207.38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2020'!AM66</f>
        <v>35122.339999999997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2020'!AJ66</f>
        <v>39211.93</v>
      </c>
      <c r="E42" s="22">
        <f>D43-C8-C13</f>
        <v>40741.010000000126</v>
      </c>
    </row>
    <row r="43" spans="2:5" ht="15" thickBot="1">
      <c r="B43" s="229" t="s">
        <v>253</v>
      </c>
      <c r="C43" s="230"/>
      <c r="D43" s="231">
        <f>SUM(D19:D42)</f>
        <v>554829.65000000014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honeticPr fontId="0" type="noConversion"/>
  <pageMargins left="0.24" right="0.24" top="0.17" bottom="0.23" header="0.17" footer="0.17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31" enableFormatConditionsCalculation="0">
    <tabColor rgb="FF9999FF"/>
  </sheetPr>
  <dimension ref="B1:F60"/>
  <sheetViews>
    <sheetView topLeftCell="A32" workbookViewId="0">
      <selection activeCell="C21" sqref="C21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387</v>
      </c>
      <c r="C3" s="264"/>
      <c r="D3" s="264"/>
    </row>
    <row r="4" spans="2:6" ht="15.75" thickBot="1">
      <c r="B4" s="57" t="s">
        <v>282</v>
      </c>
      <c r="C4" s="226">
        <f>'Свод 2020'!H67</f>
        <v>5334.9</v>
      </c>
      <c r="D4" s="217">
        <f>'Свод 2020'!J67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2020'!H67</f>
        <v>5334.9</v>
      </c>
      <c r="F5" s="22">
        <f>'Свод 2020'!J66</f>
        <v>20.88</v>
      </c>
    </row>
    <row r="6" spans="2:6" ht="30">
      <c r="B6" s="178" t="s">
        <v>321</v>
      </c>
      <c r="C6" s="272">
        <f>'Свод 2020'!K67</f>
        <v>228817.71999999997</v>
      </c>
      <c r="D6" s="273"/>
    </row>
    <row r="7" spans="2:6" ht="15">
      <c r="B7" s="40" t="s">
        <v>322</v>
      </c>
      <c r="C7" s="261">
        <f>'Свод 2020'!L67</f>
        <v>1333405.08</v>
      </c>
      <c r="D7" s="262"/>
    </row>
    <row r="8" spans="2:6" ht="15">
      <c r="B8" s="40" t="s">
        <v>323</v>
      </c>
      <c r="C8" s="261">
        <f>'Свод 2020'!M67</f>
        <v>1253050.83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309171.96999999997</v>
      </c>
      <c r="D10" s="275"/>
      <c r="E10" s="22">
        <f>'Свод 2020'!O67</f>
        <v>309171.96999999997</v>
      </c>
      <c r="F10" s="125"/>
    </row>
    <row r="11" spans="2:6" ht="30">
      <c r="B11" s="178" t="s">
        <v>333</v>
      </c>
      <c r="C11" s="261">
        <f>'Свод 2020'!Q67</f>
        <v>3445.2699999999968</v>
      </c>
      <c r="D11" s="262"/>
    </row>
    <row r="12" spans="2:6" ht="15">
      <c r="B12" s="40" t="s">
        <v>324</v>
      </c>
      <c r="C12" s="261">
        <f>'Свод 2020'!R67</f>
        <v>35360.269999999997</v>
      </c>
      <c r="D12" s="262"/>
    </row>
    <row r="13" spans="2:6" ht="15">
      <c r="B13" s="40" t="s">
        <v>325</v>
      </c>
      <c r="C13" s="261">
        <f>'Свод 2020'!S67</f>
        <v>26221.489999999998</v>
      </c>
      <c r="D13" s="262"/>
    </row>
    <row r="14" spans="2:6" ht="28.5">
      <c r="B14" s="41" t="s">
        <v>151</v>
      </c>
      <c r="C14" s="274">
        <f>C11+C12-C13</f>
        <v>12584.049999999996</v>
      </c>
      <c r="D14" s="275"/>
      <c r="E14" s="22">
        <f>'Свод 2020'!T67</f>
        <v>12584.049999999996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2020'!W67</f>
        <v>391154.87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2020'!U67</f>
        <v>4481.32</v>
      </c>
    </row>
    <row r="22" spans="2:5" ht="15">
      <c r="B22" s="46" t="s">
        <v>134</v>
      </c>
      <c r="C22" s="47" t="s">
        <v>60</v>
      </c>
      <c r="D22" s="48">
        <f>'Свод 2020'!V67</f>
        <v>48525.020000000004</v>
      </c>
    </row>
    <row r="23" spans="2:5" ht="30">
      <c r="B23" s="46" t="s">
        <v>161</v>
      </c>
      <c r="C23" s="94" t="s">
        <v>138</v>
      </c>
      <c r="D23" s="48">
        <f>'Свод 2020'!AA67+'Свод 2020'!Z67</f>
        <v>60817.87</v>
      </c>
    </row>
    <row r="24" spans="2:5" ht="28.5" customHeight="1">
      <c r="B24" s="124" t="s">
        <v>141</v>
      </c>
      <c r="C24" s="49" t="s">
        <v>140</v>
      </c>
      <c r="D24" s="209">
        <f>'Свод 2020'!AC67</f>
        <v>2774.92</v>
      </c>
    </row>
    <row r="25" spans="2:5" ht="28.5" customHeight="1">
      <c r="B25" s="154" t="s">
        <v>142</v>
      </c>
      <c r="C25" s="98" t="s">
        <v>143</v>
      </c>
      <c r="D25" s="215">
        <f>'Свод 2020'!AB67</f>
        <v>2560.75</v>
      </c>
    </row>
    <row r="26" spans="2:5" ht="21.75" customHeight="1">
      <c r="B26" s="202" t="s">
        <v>153</v>
      </c>
      <c r="C26" s="47" t="s">
        <v>59</v>
      </c>
      <c r="D26" s="203">
        <f>'Свод 2020'!AD67</f>
        <v>56336.54</v>
      </c>
    </row>
    <row r="27" spans="2:5" ht="30.75" customHeight="1">
      <c r="B27" s="105" t="s">
        <v>144</v>
      </c>
      <c r="C27" s="164" t="s">
        <v>135</v>
      </c>
      <c r="D27" s="283">
        <f>'Свод 2020'!AE67</f>
        <v>207420.91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2020'!AG67</f>
        <v>92187.07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2020'!AI67</f>
        <v>199098.47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2020'!AK67</f>
        <v>60817.86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2020'!AL67</f>
        <v>53775.79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2020'!AM67</f>
        <v>93467.45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2020'!AJ67</f>
        <v>104350.64</v>
      </c>
      <c r="E42" s="22">
        <f>D43-C8-C13</f>
        <v>98497.159999999916</v>
      </c>
    </row>
    <row r="43" spans="2:5" ht="15" thickBot="1">
      <c r="B43" s="229" t="s">
        <v>253</v>
      </c>
      <c r="C43" s="230"/>
      <c r="D43" s="231">
        <f>SUM(D19:D42)</f>
        <v>1377769.48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honeticPr fontId="0" type="noConversion"/>
  <pageMargins left="0.17" right="0.19" top="0.17" bottom="0.25" header="0.17" footer="0.17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45">
    <tabColor rgb="FF9999FF"/>
  </sheetPr>
  <dimension ref="B1:F60"/>
  <sheetViews>
    <sheetView topLeftCell="A32" workbookViewId="0">
      <selection activeCell="C17" sqref="C17:C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388</v>
      </c>
      <c r="C3" s="264"/>
      <c r="D3" s="264"/>
    </row>
    <row r="4" spans="2:6" ht="15.75" thickBot="1">
      <c r="B4" s="57" t="s">
        <v>283</v>
      </c>
      <c r="C4" s="226">
        <f>'Свод 2020'!H68</f>
        <v>2213.5</v>
      </c>
      <c r="D4" s="217">
        <f>'Свод 2020'!J68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2020'!H68</f>
        <v>2213.5</v>
      </c>
      <c r="F5" s="22">
        <f>'Свод 2020'!J66</f>
        <v>20.88</v>
      </c>
    </row>
    <row r="6" spans="2:6" ht="30">
      <c r="B6" s="178" t="s">
        <v>321</v>
      </c>
      <c r="C6" s="272">
        <f>'Свод 2020'!K68</f>
        <v>93316.319999999832</v>
      </c>
      <c r="D6" s="273"/>
    </row>
    <row r="7" spans="2:6" ht="15">
      <c r="B7" s="40" t="s">
        <v>322</v>
      </c>
      <c r="C7" s="261">
        <f>'Свод 2020'!L68</f>
        <v>555539.88</v>
      </c>
      <c r="D7" s="262"/>
    </row>
    <row r="8" spans="2:6" ht="15">
      <c r="B8" s="40" t="s">
        <v>323</v>
      </c>
      <c r="C8" s="261">
        <f>'Свод 2020'!M68</f>
        <v>549151.43000000005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99704.769999999786</v>
      </c>
      <c r="D10" s="275"/>
      <c r="E10" s="22">
        <f>'Свод 2020'!O68</f>
        <v>99804.929999999789</v>
      </c>
      <c r="F10" s="125"/>
    </row>
    <row r="11" spans="2:6" ht="30">
      <c r="B11" s="178" t="s">
        <v>333</v>
      </c>
      <c r="C11" s="261">
        <f>'Свод 2020'!Q68</f>
        <v>1750</v>
      </c>
      <c r="D11" s="262"/>
    </row>
    <row r="12" spans="2:6" ht="15">
      <c r="B12" s="40" t="s">
        <v>324</v>
      </c>
      <c r="C12" s="261">
        <f>'Свод 2020'!R68</f>
        <v>8400</v>
      </c>
      <c r="D12" s="262"/>
    </row>
    <row r="13" spans="2:6" ht="15">
      <c r="B13" s="40" t="s">
        <v>325</v>
      </c>
      <c r="C13" s="261">
        <f>'Свод 2020'!S68</f>
        <v>8050</v>
      </c>
      <c r="D13" s="262"/>
    </row>
    <row r="14" spans="2:6" ht="28.5">
      <c r="B14" s="41" t="s">
        <v>151</v>
      </c>
      <c r="C14" s="274">
        <f>C11+C12-C13</f>
        <v>2100</v>
      </c>
      <c r="D14" s="275"/>
      <c r="E14" s="22">
        <f>'Свод 2020'!T68</f>
        <v>2100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2020'!W68</f>
        <v>162550.44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2020'!U68</f>
        <v>1862.28</v>
      </c>
    </row>
    <row r="22" spans="2:5" ht="15">
      <c r="B22" s="46" t="s">
        <v>134</v>
      </c>
      <c r="C22" s="47" t="s">
        <v>60</v>
      </c>
      <c r="D22" s="48">
        <f>'Свод 2020'!V68</f>
        <v>59784.24</v>
      </c>
    </row>
    <row r="23" spans="2:5" ht="30">
      <c r="B23" s="46" t="s">
        <v>161</v>
      </c>
      <c r="C23" s="94" t="s">
        <v>138</v>
      </c>
      <c r="D23" s="48">
        <f>'Свод 2020'!AA68+'Свод 2020'!Z68</f>
        <v>25273.8</v>
      </c>
    </row>
    <row r="24" spans="2:5" ht="28.5" customHeight="1">
      <c r="B24" s="124" t="s">
        <v>141</v>
      </c>
      <c r="C24" s="49" t="s">
        <v>140</v>
      </c>
      <c r="D24" s="209">
        <f>'Свод 2020'!AC68</f>
        <v>1329.08</v>
      </c>
    </row>
    <row r="25" spans="2:5" ht="28.5" customHeight="1">
      <c r="B25" s="154" t="s">
        <v>142</v>
      </c>
      <c r="C25" s="98" t="s">
        <v>143</v>
      </c>
      <c r="D25" s="215">
        <f>'Свод 2020'!AB68</f>
        <v>1064.1600000000001</v>
      </c>
    </row>
    <row r="26" spans="2:5" ht="21.75" customHeight="1">
      <c r="B26" s="202" t="s">
        <v>153</v>
      </c>
      <c r="C26" s="47" t="s">
        <v>59</v>
      </c>
      <c r="D26" s="203">
        <f>'Свод 2020'!AD68</f>
        <v>23411.52</v>
      </c>
    </row>
    <row r="27" spans="2:5" ht="30.75" customHeight="1">
      <c r="B27" s="105" t="s">
        <v>144</v>
      </c>
      <c r="C27" s="164" t="s">
        <v>135</v>
      </c>
      <c r="D27" s="283">
        <f>'Свод 2020'!AE68</f>
        <v>86196.96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2020'!AG68</f>
        <v>38309.760000000002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2020'!AI68</f>
        <v>82738.44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2020'!AK68</f>
        <v>25273.8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2020'!AL68</f>
        <v>22347.360000000001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2020'!AM68</f>
        <v>38841.839999999997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2020'!AJ68</f>
        <v>43364.52</v>
      </c>
      <c r="E42" s="22">
        <f>D43-C8-C13</f>
        <v>55146.769999999902</v>
      </c>
    </row>
    <row r="43" spans="2:5" ht="15" thickBot="1">
      <c r="B43" s="229" t="s">
        <v>253</v>
      </c>
      <c r="C43" s="230"/>
      <c r="D43" s="231">
        <f>SUM(D19:D42)</f>
        <v>612348.19999999995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23" header="0.2" footer="0.17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topLeftCell="A41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346</v>
      </c>
      <c r="C3" s="264"/>
      <c r="D3" s="264"/>
    </row>
    <row r="4" spans="2:6" ht="15.75" thickBot="1">
      <c r="B4" s="57" t="s">
        <v>284</v>
      </c>
      <c r="C4" s="226">
        <f>'Свод 2020'!H69</f>
        <v>2719.9</v>
      </c>
      <c r="D4" s="216">
        <f>'Свод 2020'!J69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2020'!H69</f>
        <v>2719.9</v>
      </c>
      <c r="F5" s="22">
        <f>'Свод 2020'!J69</f>
        <v>21.73</v>
      </c>
    </row>
    <row r="6" spans="2:6" ht="30">
      <c r="B6" s="178" t="s">
        <v>321</v>
      </c>
      <c r="C6" s="272">
        <f>'Свод 2020'!K69</f>
        <v>142504.53999999992</v>
      </c>
      <c r="D6" s="273"/>
    </row>
    <row r="7" spans="2:6" ht="15">
      <c r="B7" s="40" t="s">
        <v>322</v>
      </c>
      <c r="C7" s="261">
        <f>'Свод 2020'!L69</f>
        <v>685270.88</v>
      </c>
      <c r="D7" s="262"/>
    </row>
    <row r="8" spans="2:6" ht="15">
      <c r="B8" s="40" t="s">
        <v>323</v>
      </c>
      <c r="C8" s="261">
        <f>'Свод 2020'!M69</f>
        <v>665041.49</v>
      </c>
      <c r="D8" s="262"/>
    </row>
    <row r="9" spans="2:6" ht="15">
      <c r="B9" s="40" t="s">
        <v>127</v>
      </c>
      <c r="C9" s="261">
        <f>'Свод 2020'!N54</f>
        <v>0</v>
      </c>
      <c r="D9" s="262"/>
    </row>
    <row r="10" spans="2:6" ht="28.5">
      <c r="B10" s="41" t="s">
        <v>147</v>
      </c>
      <c r="C10" s="274">
        <f>C6+C7-C8+C9</f>
        <v>162733.92999999993</v>
      </c>
      <c r="D10" s="275"/>
      <c r="E10" s="22">
        <f>'Свод 2020'!O69</f>
        <v>162733.92999999993</v>
      </c>
      <c r="F10" s="125"/>
    </row>
    <row r="11" spans="2:6" ht="30">
      <c r="B11" s="178" t="s">
        <v>333</v>
      </c>
      <c r="C11" s="261">
        <f>'Свод 2020'!Q69</f>
        <v>2279.119999999999</v>
      </c>
      <c r="D11" s="262"/>
    </row>
    <row r="12" spans="2:6" ht="15">
      <c r="B12" s="40" t="s">
        <v>324</v>
      </c>
      <c r="C12" s="261">
        <f>'Свод 2020'!R69</f>
        <v>24978.48</v>
      </c>
      <c r="D12" s="262"/>
    </row>
    <row r="13" spans="2:6" ht="15">
      <c r="B13" s="40" t="s">
        <v>325</v>
      </c>
      <c r="C13" s="261">
        <f>'Свод 2020'!S69</f>
        <v>24978.48</v>
      </c>
      <c r="D13" s="262"/>
    </row>
    <row r="14" spans="2:6" ht="28.5">
      <c r="B14" s="41" t="s">
        <v>151</v>
      </c>
      <c r="C14" s="274">
        <f>C11+C12-C13</f>
        <v>2279.119999999999</v>
      </c>
      <c r="D14" s="275"/>
      <c r="E14" s="22">
        <f>'Свод 2020'!T69</f>
        <v>2279.119999999999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2020'!W69</f>
        <v>199423.07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2020'!U69</f>
        <v>2284.7199999999998</v>
      </c>
    </row>
    <row r="22" spans="2:5" ht="15">
      <c r="B22" s="46" t="s">
        <v>134</v>
      </c>
      <c r="C22" s="47" t="s">
        <v>60</v>
      </c>
      <c r="D22" s="48">
        <f>'Свод 2020'!V69</f>
        <v>52298.81</v>
      </c>
    </row>
    <row r="23" spans="2:5" ht="30">
      <c r="B23" s="46" t="s">
        <v>161</v>
      </c>
      <c r="C23" s="94" t="s">
        <v>138</v>
      </c>
      <c r="D23" s="48">
        <f>'Свод 2020'!AA69+'Свод 2020'!Z69</f>
        <v>31006.87</v>
      </c>
    </row>
    <row r="24" spans="2:5" ht="28.5" customHeight="1">
      <c r="B24" s="124" t="s">
        <v>141</v>
      </c>
      <c r="C24" s="49" t="s">
        <v>140</v>
      </c>
      <c r="D24" s="209">
        <f>'Свод 2020'!AC69</f>
        <v>3000.02</v>
      </c>
    </row>
    <row r="25" spans="2:5" ht="28.5" customHeight="1">
      <c r="B25" s="154" t="s">
        <v>142</v>
      </c>
      <c r="C25" s="98" t="s">
        <v>143</v>
      </c>
      <c r="D25" s="215">
        <f>'Свод 2020'!AB69</f>
        <v>1305.55</v>
      </c>
    </row>
    <row r="26" spans="2:5" ht="21.75" customHeight="1">
      <c r="B26" s="202" t="s">
        <v>153</v>
      </c>
      <c r="C26" s="47" t="s">
        <v>59</v>
      </c>
      <c r="D26" s="203">
        <f>'Свод 2020'!AD69</f>
        <v>28722.14</v>
      </c>
    </row>
    <row r="27" spans="2:5" ht="30.75" customHeight="1">
      <c r="B27" s="105" t="s">
        <v>144</v>
      </c>
      <c r="C27" s="164" t="s">
        <v>135</v>
      </c>
      <c r="D27" s="283">
        <f>'Свод 2020'!AE69</f>
        <v>105749.71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2020'!AG69</f>
        <v>46999.87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2020'!AI69</f>
        <v>102606.67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2020'!AK69</f>
        <v>58423.45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2020'!AL69</f>
        <v>27742.98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2020'!AM69</f>
        <v>47652.65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2020'!AJ69</f>
        <v>53201.24</v>
      </c>
      <c r="E42" s="22">
        <f>D43-C8-C13</f>
        <v>70397.780000000013</v>
      </c>
    </row>
    <row r="43" spans="2:5" ht="15" thickBot="1">
      <c r="B43" s="229" t="s">
        <v>253</v>
      </c>
      <c r="C43" s="230"/>
      <c r="D43" s="231">
        <f>SUM(D19:D42)</f>
        <v>760417.75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ageMargins left="0.24" right="0.24" top="0.2" bottom="0.23" header="0.17" footer="0.17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topLeftCell="A35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349</v>
      </c>
      <c r="C3" s="264"/>
      <c r="D3" s="264"/>
    </row>
    <row r="4" spans="2:6" ht="15.75" thickBot="1">
      <c r="B4" s="57" t="s">
        <v>285</v>
      </c>
      <c r="C4" s="226">
        <f>'Свод 2020'!H70</f>
        <v>3729.5</v>
      </c>
      <c r="D4" s="216">
        <f>'Свод 2020'!J70</f>
        <v>25.92</v>
      </c>
      <c r="E4" s="22"/>
    </row>
    <row r="5" spans="2:6" ht="31.5" customHeight="1" thickBot="1">
      <c r="B5" s="36" t="s">
        <v>54</v>
      </c>
      <c r="C5" s="270" t="s">
        <v>150</v>
      </c>
      <c r="D5" s="285"/>
      <c r="E5" s="22">
        <f>'Свод 2020'!H70</f>
        <v>3729.5</v>
      </c>
      <c r="F5" s="22">
        <f>'Свод 2020'!J70</f>
        <v>25.92</v>
      </c>
    </row>
    <row r="6" spans="2:6" ht="30">
      <c r="B6" s="178" t="s">
        <v>321</v>
      </c>
      <c r="C6" s="272">
        <f>'Свод 2020'!K70</f>
        <v>186532.42999999993</v>
      </c>
      <c r="D6" s="273"/>
    </row>
    <row r="7" spans="2:6" ht="15">
      <c r="B7" s="40" t="s">
        <v>322</v>
      </c>
      <c r="C7" s="261">
        <f>'Свод 2020'!L70</f>
        <v>1160023.68</v>
      </c>
      <c r="D7" s="262"/>
    </row>
    <row r="8" spans="2:6" ht="15">
      <c r="B8" s="40" t="s">
        <v>323</v>
      </c>
      <c r="C8" s="261">
        <f>'Свод 2020'!M70</f>
        <v>1130967.22</v>
      </c>
      <c r="D8" s="262"/>
    </row>
    <row r="9" spans="2:6" ht="15">
      <c r="B9" s="40" t="s">
        <v>127</v>
      </c>
      <c r="C9" s="261">
        <f>'Свод 2020'!N70</f>
        <v>0</v>
      </c>
      <c r="D9" s="262"/>
    </row>
    <row r="10" spans="2:6" ht="28.5">
      <c r="B10" s="41" t="s">
        <v>147</v>
      </c>
      <c r="C10" s="274">
        <f>C6+C7-C8+C9</f>
        <v>215588.8899999999</v>
      </c>
      <c r="D10" s="275"/>
      <c r="E10" s="22">
        <f>'Свод 2020'!O70</f>
        <v>215588.8899999999</v>
      </c>
      <c r="F10" s="125"/>
    </row>
    <row r="11" spans="2:6" ht="30">
      <c r="B11" s="178" t="s">
        <v>333</v>
      </c>
      <c r="C11" s="261">
        <f>'Свод 2020'!Q70</f>
        <v>0</v>
      </c>
      <c r="D11" s="262"/>
    </row>
    <row r="12" spans="2:6" ht="15">
      <c r="B12" s="40" t="s">
        <v>324</v>
      </c>
      <c r="C12" s="261">
        <f>'Свод 2020'!R70</f>
        <v>0</v>
      </c>
      <c r="D12" s="262"/>
    </row>
    <row r="13" spans="2:6" ht="15">
      <c r="B13" s="40" t="s">
        <v>325</v>
      </c>
      <c r="C13" s="261">
        <f>'Свод 2020'!S70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2020'!T70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2020'!W70</f>
        <v>186624.18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2020'!U70</f>
        <v>3132.78</v>
      </c>
    </row>
    <row r="22" spans="2:5" ht="15">
      <c r="B22" s="46" t="s">
        <v>134</v>
      </c>
      <c r="C22" s="47" t="s">
        <v>60</v>
      </c>
      <c r="D22" s="48">
        <f>'Свод 2020'!V70</f>
        <v>6666.7000000000007</v>
      </c>
    </row>
    <row r="23" spans="2:5" ht="30">
      <c r="B23" s="46" t="s">
        <v>161</v>
      </c>
      <c r="C23" s="94" t="s">
        <v>138</v>
      </c>
      <c r="D23" s="48">
        <f>'Свод 2020'!AA70+'Свод 2020'!Z70</f>
        <v>42516.3</v>
      </c>
    </row>
    <row r="24" spans="2:5" ht="28.5" customHeight="1">
      <c r="B24" s="124" t="s">
        <v>141</v>
      </c>
      <c r="C24" s="49" t="s">
        <v>140</v>
      </c>
      <c r="D24" s="209">
        <f>'Свод 2020'!AC70</f>
        <v>1342.62</v>
      </c>
    </row>
    <row r="25" spans="2:5" ht="28.5" customHeight="1">
      <c r="B25" s="154" t="s">
        <v>142</v>
      </c>
      <c r="C25" s="98" t="s">
        <v>143</v>
      </c>
      <c r="D25" s="215">
        <f>'Свод 2020'!AB70</f>
        <v>1790.16</v>
      </c>
    </row>
    <row r="26" spans="2:5" ht="21.75" customHeight="1">
      <c r="B26" s="202" t="s">
        <v>153</v>
      </c>
      <c r="C26" s="47" t="s">
        <v>59</v>
      </c>
      <c r="D26" s="203">
        <f>'Свод 2020'!AD70</f>
        <v>39383.519999999997</v>
      </c>
    </row>
    <row r="27" spans="2:5" ht="30.75" customHeight="1">
      <c r="B27" s="105" t="s">
        <v>144</v>
      </c>
      <c r="C27" s="164" t="s">
        <v>135</v>
      </c>
      <c r="D27" s="283">
        <f>'Свод 2020'!AE70</f>
        <v>145002.96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02" t="s">
        <v>286</v>
      </c>
      <c r="C31" s="164" t="s">
        <v>166</v>
      </c>
      <c r="D31" s="209">
        <f>'Свод 2020'!Y70</f>
        <v>372065.52</v>
      </c>
    </row>
    <row r="32" spans="2:5" ht="30">
      <c r="B32" s="175" t="s">
        <v>158</v>
      </c>
      <c r="C32" s="164" t="s">
        <v>166</v>
      </c>
      <c r="D32" s="176">
        <f>'Свод 2020'!AG70</f>
        <v>64445.760000000002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2020'!AI70</f>
        <v>106930.94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2020'!AK70</f>
        <v>80109.66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2020'!AL70</f>
        <v>38040.9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2020'!AM70</f>
        <v>65340.84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2020'!AJ70</f>
        <v>72949.02</v>
      </c>
      <c r="E43" s="22">
        <f>D44-C8-C13</f>
        <v>95374.639999999898</v>
      </c>
    </row>
    <row r="44" spans="2:5" ht="15" thickBot="1">
      <c r="B44" s="229" t="s">
        <v>253</v>
      </c>
      <c r="C44" s="230"/>
      <c r="D44" s="231">
        <f>SUM(D19:D43)</f>
        <v>1226341.8599999999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 ht="15.75">
      <c r="B53" s="102" t="s">
        <v>64</v>
      </c>
      <c r="C53" s="102"/>
    </row>
    <row r="59" spans="2:4" ht="20.25">
      <c r="B59" s="103"/>
    </row>
  </sheetData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ageMargins left="0.25" right="0.25" top="0.75" bottom="0.75" header="0.3" footer="0.3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topLeftCell="A38" workbookViewId="0">
      <selection activeCell="C20" sqref="C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346</v>
      </c>
      <c r="C3" s="264"/>
      <c r="D3" s="264"/>
    </row>
    <row r="4" spans="2:6" ht="15.75" thickBot="1">
      <c r="B4" s="57" t="s">
        <v>287</v>
      </c>
      <c r="C4" s="226">
        <f>'Свод 2020'!H71</f>
        <v>4752.5</v>
      </c>
      <c r="D4" s="217">
        <f>'Свод 2020'!J71</f>
        <v>25.92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2020'!H71</f>
        <v>4752.5</v>
      </c>
      <c r="F5" s="22">
        <f>'Свод 2020'!J70</f>
        <v>25.92</v>
      </c>
    </row>
    <row r="6" spans="2:6" ht="30">
      <c r="B6" s="178" t="s">
        <v>321</v>
      </c>
      <c r="C6" s="272">
        <f>'Свод 2020'!K71</f>
        <v>395109.29999999987</v>
      </c>
      <c r="D6" s="273"/>
    </row>
    <row r="7" spans="2:6" ht="15">
      <c r="B7" s="40" t="s">
        <v>389</v>
      </c>
      <c r="C7" s="261">
        <f>'Свод 2020'!L71</f>
        <v>1321359.48</v>
      </c>
      <c r="D7" s="262"/>
    </row>
    <row r="8" spans="2:6" ht="15">
      <c r="B8" s="40" t="s">
        <v>323</v>
      </c>
      <c r="C8" s="261">
        <f>'Свод 2020'!M71</f>
        <v>1304604.3999999999</v>
      </c>
      <c r="D8" s="262"/>
    </row>
    <row r="9" spans="2:6" ht="15">
      <c r="B9" s="40" t="s">
        <v>127</v>
      </c>
      <c r="C9" s="261">
        <f>'Свод 2020'!N71</f>
        <v>0</v>
      </c>
      <c r="D9" s="262"/>
    </row>
    <row r="10" spans="2:6" ht="28.5">
      <c r="B10" s="41" t="s">
        <v>147</v>
      </c>
      <c r="C10" s="274">
        <f>C6+C7-C8+C9</f>
        <v>411864.37999999989</v>
      </c>
      <c r="D10" s="275"/>
      <c r="E10" s="22">
        <f>'Свод 2020'!O71</f>
        <v>411864.37999999989</v>
      </c>
      <c r="F10" s="125"/>
    </row>
    <row r="11" spans="2:6" ht="30">
      <c r="B11" s="178" t="s">
        <v>333</v>
      </c>
      <c r="C11" s="261">
        <f>'Свод 2020'!Q71</f>
        <v>5068.5400000000373</v>
      </c>
      <c r="D11" s="262"/>
    </row>
    <row r="12" spans="2:6" ht="15">
      <c r="B12" s="40" t="s">
        <v>324</v>
      </c>
      <c r="C12" s="261">
        <f>'Свод 2020'!R71</f>
        <v>124950.41999999998</v>
      </c>
      <c r="D12" s="262"/>
    </row>
    <row r="13" spans="2:6" ht="15">
      <c r="B13" s="40" t="s">
        <v>325</v>
      </c>
      <c r="C13" s="261">
        <f>'Свод 2020'!S71</f>
        <v>119158.18999999999</v>
      </c>
      <c r="D13" s="262"/>
    </row>
    <row r="14" spans="2:6" ht="28.5">
      <c r="B14" s="41" t="s">
        <v>151</v>
      </c>
      <c r="C14" s="274">
        <f>C11+C12-C13</f>
        <v>10860.770000000033</v>
      </c>
      <c r="D14" s="275"/>
      <c r="E14" s="22">
        <f>'Свод 2020'!T71</f>
        <v>10860.770000000033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2020'!W71</f>
        <v>237815.1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2020'!U71</f>
        <v>3992.1</v>
      </c>
    </row>
    <row r="22" spans="2:5" ht="15">
      <c r="B22" s="46" t="s">
        <v>134</v>
      </c>
      <c r="C22" s="47" t="s">
        <v>60</v>
      </c>
      <c r="D22" s="48">
        <f>'Свод 2020'!V71</f>
        <v>8262.58</v>
      </c>
    </row>
    <row r="23" spans="2:5" ht="30">
      <c r="B23" s="46" t="s">
        <v>161</v>
      </c>
      <c r="C23" s="94" t="s">
        <v>138</v>
      </c>
      <c r="D23" s="48">
        <f>'Свод 2020'!AA71+'Свод 2020'!Z71</f>
        <v>54178.5</v>
      </c>
    </row>
    <row r="24" spans="2:5" ht="28.5" customHeight="1">
      <c r="B24" s="124" t="s">
        <v>141</v>
      </c>
      <c r="C24" s="49" t="s">
        <v>140</v>
      </c>
      <c r="D24" s="209">
        <f>'Свод 2020'!AC71</f>
        <v>1710.9</v>
      </c>
    </row>
    <row r="25" spans="2:5" ht="28.5" customHeight="1">
      <c r="B25" s="154" t="s">
        <v>142</v>
      </c>
      <c r="C25" s="98" t="s">
        <v>143</v>
      </c>
      <c r="D25" s="215">
        <f>'Свод 2020'!AB71</f>
        <v>2281.1999999999998</v>
      </c>
    </row>
    <row r="26" spans="2:5" ht="21.75" customHeight="1">
      <c r="B26" s="202" t="s">
        <v>153</v>
      </c>
      <c r="C26" s="47" t="s">
        <v>59</v>
      </c>
      <c r="D26" s="203">
        <f>'Свод 2020'!AD71</f>
        <v>50186.400000000001</v>
      </c>
    </row>
    <row r="27" spans="2:5" ht="30.75" customHeight="1">
      <c r="B27" s="105" t="s">
        <v>144</v>
      </c>
      <c r="C27" s="164" t="s">
        <v>135</v>
      </c>
      <c r="D27" s="283">
        <f>'Свод 2020'!AE71</f>
        <v>184777.2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02" t="s">
        <v>191</v>
      </c>
      <c r="C31" s="164" t="s">
        <v>166</v>
      </c>
      <c r="D31" s="209">
        <f>'Свод 2020'!Y71</f>
        <v>437637.4</v>
      </c>
    </row>
    <row r="32" spans="2:5" ht="30">
      <c r="B32" s="175" t="s">
        <v>158</v>
      </c>
      <c r="C32" s="164" t="s">
        <v>166</v>
      </c>
      <c r="D32" s="176">
        <f>'Свод 2020'!AG71</f>
        <v>82123.199999999997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2020'!AI71</f>
        <v>132833.29999999999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2020'!AK71</f>
        <v>102083.7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2020'!AL71</f>
        <v>48475.5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2020'!AM71</f>
        <v>83263.8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2020'!AJ71</f>
        <v>92958.9</v>
      </c>
      <c r="E43" s="22">
        <f>D44-C8-C13</f>
        <v>98817.190000000133</v>
      </c>
    </row>
    <row r="44" spans="2:5" ht="15" thickBot="1">
      <c r="B44" s="229" t="s">
        <v>253</v>
      </c>
      <c r="C44" s="230"/>
      <c r="D44" s="231">
        <f>SUM(D19:D43)</f>
        <v>1522579.78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 ht="15.75">
      <c r="B53" s="102" t="s">
        <v>64</v>
      </c>
      <c r="C53" s="102"/>
    </row>
    <row r="59" spans="2:4" ht="20.25">
      <c r="B59" s="103"/>
    </row>
  </sheetData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>
    <tabColor rgb="FFFFFFCC"/>
  </sheetPr>
  <dimension ref="B1:F60"/>
  <sheetViews>
    <sheetView topLeftCell="A5" workbookViewId="0">
      <selection activeCell="G19" sqref="G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 customHeight="1">
      <c r="B3" s="218" t="s">
        <v>342</v>
      </c>
      <c r="C3" s="219"/>
      <c r="D3" s="219"/>
    </row>
    <row r="4" spans="2:6" ht="15.75" thickBot="1">
      <c r="B4" s="57" t="s">
        <v>216</v>
      </c>
      <c r="C4" s="226">
        <f>'Свод 2020'!H9</f>
        <v>2689.6</v>
      </c>
      <c r="D4" s="217">
        <f>'Свод 2020'!J9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2020'!H9</f>
        <v>2689.6</v>
      </c>
    </row>
    <row r="6" spans="2:6" ht="30">
      <c r="B6" s="178" t="s">
        <v>321</v>
      </c>
      <c r="C6" s="272">
        <f>'Свод 2020'!K9</f>
        <v>230185.00999999989</v>
      </c>
      <c r="D6" s="273"/>
    </row>
    <row r="7" spans="2:6" ht="15">
      <c r="B7" s="40" t="s">
        <v>322</v>
      </c>
      <c r="C7" s="261">
        <f>'Свод 2020'!L9</f>
        <v>674075.25</v>
      </c>
      <c r="D7" s="262"/>
    </row>
    <row r="8" spans="2:6" ht="15">
      <c r="B8" s="40" t="s">
        <v>323</v>
      </c>
      <c r="C8" s="261">
        <f>'Свод 2020'!M9</f>
        <v>665617.14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238643.11999999988</v>
      </c>
      <c r="D10" s="275"/>
      <c r="E10" s="22">
        <f>'Свод 2020'!O9</f>
        <v>238643.11999999988</v>
      </c>
      <c r="F10" s="125"/>
    </row>
    <row r="11" spans="2:6" ht="30">
      <c r="B11" s="178" t="s">
        <v>333</v>
      </c>
      <c r="C11" s="261">
        <f>'Свод 2020'!Q9</f>
        <v>2520.5500000000011</v>
      </c>
      <c r="D11" s="262"/>
    </row>
    <row r="12" spans="2:6" ht="15">
      <c r="B12" s="40" t="s">
        <v>324</v>
      </c>
      <c r="C12" s="261">
        <f>'Свод 2020'!R9</f>
        <v>9754.77</v>
      </c>
      <c r="D12" s="262"/>
    </row>
    <row r="13" spans="2:6" ht="15">
      <c r="B13" s="40" t="s">
        <v>325</v>
      </c>
      <c r="C13" s="261">
        <f>'Свод 2020'!S9</f>
        <v>5232.47</v>
      </c>
      <c r="D13" s="262"/>
    </row>
    <row r="14" spans="2:6" ht="28.5">
      <c r="B14" s="41" t="s">
        <v>151</v>
      </c>
      <c r="C14" s="274">
        <f>C11+C12-C13</f>
        <v>7042.8500000000013</v>
      </c>
      <c r="D14" s="275"/>
      <c r="E14" s="22">
        <f>'Свод 2020'!T9</f>
        <v>7042.8500000000013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2020'!W9</f>
        <v>197201.47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2020'!U9</f>
        <v>2259.2600000000002</v>
      </c>
    </row>
    <row r="22" spans="2:5" ht="15">
      <c r="B22" s="46" t="s">
        <v>134</v>
      </c>
      <c r="C22" s="47" t="s">
        <v>60</v>
      </c>
      <c r="D22" s="48">
        <f>'Свод 2020'!V9</f>
        <v>27315.129999999997</v>
      </c>
    </row>
    <row r="23" spans="2:5" ht="30">
      <c r="B23" s="46" t="s">
        <v>161</v>
      </c>
      <c r="C23" s="94" t="s">
        <v>138</v>
      </c>
      <c r="D23" s="48">
        <f>'Свод 2020'!AA9+'Свод 2020'!Z9</f>
        <v>30661.43</v>
      </c>
    </row>
    <row r="24" spans="2:5" ht="28.5" customHeight="1">
      <c r="B24" s="124" t="s">
        <v>141</v>
      </c>
      <c r="C24" s="49" t="s">
        <v>140</v>
      </c>
      <c r="D24" s="209">
        <f>'Свод 2020'!AC9</f>
        <v>1953.79</v>
      </c>
    </row>
    <row r="25" spans="2:5" ht="28.5" customHeight="1">
      <c r="B25" s="154" t="s">
        <v>142</v>
      </c>
      <c r="C25" s="98" t="s">
        <v>143</v>
      </c>
      <c r="D25" s="209">
        <f>'Свод 2020'!AB9</f>
        <v>1291.01</v>
      </c>
    </row>
    <row r="26" spans="2:5" ht="21.75" customHeight="1">
      <c r="B26" s="202" t="s">
        <v>153</v>
      </c>
      <c r="C26" s="47" t="s">
        <v>169</v>
      </c>
      <c r="D26" s="203">
        <f>'Свод 2020'!AD9</f>
        <v>28402.18</v>
      </c>
    </row>
    <row r="27" spans="2:5" ht="30.75" customHeight="1">
      <c r="B27" s="105" t="s">
        <v>144</v>
      </c>
      <c r="C27" s="164" t="s">
        <v>135</v>
      </c>
      <c r="D27" s="283">
        <f>'Свод 2020'!AE9</f>
        <v>104571.65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2020'!AG9</f>
        <v>46476.29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2020'!AI9</f>
        <v>100375.87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2020'!AK9</f>
        <v>30661.439999999999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2020'!AL9</f>
        <v>27111.17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2020'!AM9</f>
        <v>47121.79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2020'!AJ9</f>
        <v>52608.58</v>
      </c>
      <c r="E42" s="22">
        <f>D43-C8-C13</f>
        <v>27161.450000000041</v>
      </c>
    </row>
    <row r="43" spans="2:5" ht="15" thickBot="1">
      <c r="B43" s="229" t="s">
        <v>253</v>
      </c>
      <c r="C43" s="230"/>
      <c r="D43" s="231">
        <f>SUM(D19:D42)</f>
        <v>698011.06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3">
    <mergeCell ref="B50:D50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C9:D9"/>
    <mergeCell ref="C10:D10"/>
    <mergeCell ref="C11:D11"/>
    <mergeCell ref="C12:D12"/>
    <mergeCell ref="C13:D13"/>
    <mergeCell ref="C14:D14"/>
    <mergeCell ref="B1:D1"/>
    <mergeCell ref="B2:D2"/>
    <mergeCell ref="C5:D5"/>
    <mergeCell ref="C6:D6"/>
    <mergeCell ref="C7:D7"/>
    <mergeCell ref="C8:D8"/>
  </mergeCells>
  <phoneticPr fontId="0" type="noConversion"/>
  <pageMargins left="0.24" right="0.24" top="0.2" bottom="0.17" header="0.17" footer="0.17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topLeftCell="A41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390</v>
      </c>
      <c r="C3" s="264"/>
      <c r="D3" s="264"/>
    </row>
    <row r="4" spans="2:6" ht="15.75" thickBot="1">
      <c r="B4" s="57" t="s">
        <v>288</v>
      </c>
      <c r="C4" s="226">
        <f>'Свод 2020'!H72</f>
        <v>3924.1</v>
      </c>
      <c r="D4" s="217">
        <f>'Свод 2020'!J72</f>
        <v>25.92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2020'!H72</f>
        <v>3924.1</v>
      </c>
      <c r="F5" s="22">
        <f>'Свод 2020'!J70</f>
        <v>25.92</v>
      </c>
    </row>
    <row r="6" spans="2:6" ht="30">
      <c r="B6" s="178" t="s">
        <v>321</v>
      </c>
      <c r="C6" s="272">
        <f>'Свод 2020'!K72</f>
        <v>337324.45999999996</v>
      </c>
      <c r="D6" s="273"/>
    </row>
    <row r="7" spans="2:6" ht="15">
      <c r="B7" s="40" t="s">
        <v>322</v>
      </c>
      <c r="C7" s="261">
        <f>'Свод 2020'!L72</f>
        <v>1225191.8899999999</v>
      </c>
      <c r="D7" s="262"/>
    </row>
    <row r="8" spans="2:6" ht="15">
      <c r="B8" s="40" t="s">
        <v>323</v>
      </c>
      <c r="C8" s="261">
        <f>'Свод 2020'!M72</f>
        <v>1190998.8400000001</v>
      </c>
      <c r="D8" s="262"/>
    </row>
    <row r="9" spans="2:6" ht="15">
      <c r="B9" s="40" t="s">
        <v>127</v>
      </c>
      <c r="C9" s="261">
        <f>'Свод 2020'!N72</f>
        <v>0</v>
      </c>
      <c r="D9" s="262"/>
    </row>
    <row r="10" spans="2:6" ht="28.5">
      <c r="B10" s="41" t="s">
        <v>147</v>
      </c>
      <c r="C10" s="274">
        <f>C6+C7-C8+C9</f>
        <v>371517.50999999978</v>
      </c>
      <c r="D10" s="275"/>
      <c r="E10" s="22">
        <f>'Свод 2020'!O72</f>
        <v>371517.50999999978</v>
      </c>
      <c r="F10" s="125"/>
    </row>
    <row r="11" spans="2:6" ht="30">
      <c r="B11" s="178" t="s">
        <v>333</v>
      </c>
      <c r="C11" s="261">
        <f>'Свод 2020'!Q72</f>
        <v>0</v>
      </c>
      <c r="D11" s="262"/>
    </row>
    <row r="12" spans="2:6" ht="15">
      <c r="B12" s="40" t="s">
        <v>324</v>
      </c>
      <c r="C12" s="261">
        <f>'Свод 2020'!R72</f>
        <v>0</v>
      </c>
      <c r="D12" s="262"/>
    </row>
    <row r="13" spans="2:6" ht="15">
      <c r="B13" s="40" t="s">
        <v>325</v>
      </c>
      <c r="C13" s="261">
        <f>'Свод 2020'!S72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2020'!T72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2020'!W72</f>
        <v>196361.96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2020'!U72</f>
        <v>3296.24</v>
      </c>
    </row>
    <row r="22" spans="2:5" ht="15">
      <c r="B22" s="46" t="s">
        <v>134</v>
      </c>
      <c r="C22" s="47" t="s">
        <v>60</v>
      </c>
      <c r="D22" s="48">
        <f>'Свод 2020'!V72</f>
        <v>13395.900000000001</v>
      </c>
    </row>
    <row r="23" spans="2:5" ht="30">
      <c r="B23" s="46" t="s">
        <v>161</v>
      </c>
      <c r="C23" s="94" t="s">
        <v>138</v>
      </c>
      <c r="D23" s="48">
        <f>'Свод 2020'!AA72+'Свод 2020'!Z72</f>
        <v>44734.729999999996</v>
      </c>
    </row>
    <row r="24" spans="2:5" ht="28.5" customHeight="1">
      <c r="B24" s="124" t="s">
        <v>141</v>
      </c>
      <c r="C24" s="49" t="s">
        <v>140</v>
      </c>
      <c r="D24" s="209">
        <f>'Свод 2020'!AC72</f>
        <v>1412.68</v>
      </c>
    </row>
    <row r="25" spans="2:5" ht="28.5" customHeight="1">
      <c r="B25" s="154" t="s">
        <v>142</v>
      </c>
      <c r="C25" s="98" t="s">
        <v>143</v>
      </c>
      <c r="D25" s="215">
        <f>'Свод 2020'!AB72</f>
        <v>1883.57</v>
      </c>
    </row>
    <row r="26" spans="2:5" ht="21.75" customHeight="1">
      <c r="B26" s="202" t="s">
        <v>153</v>
      </c>
      <c r="C26" s="47" t="s">
        <v>59</v>
      </c>
      <c r="D26" s="203">
        <f>'Свод 2020'!AD72</f>
        <v>41438.5</v>
      </c>
    </row>
    <row r="27" spans="2:5" ht="30.75" customHeight="1">
      <c r="B27" s="105" t="s">
        <v>144</v>
      </c>
      <c r="C27" s="164" t="s">
        <v>135</v>
      </c>
      <c r="D27" s="283">
        <f>'Свод 2020'!AE72</f>
        <v>152569.01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02" t="s">
        <v>289</v>
      </c>
      <c r="C31" s="164" t="s">
        <v>166</v>
      </c>
      <c r="D31" s="209">
        <f>'Свод 2020'!Y72</f>
        <v>336646</v>
      </c>
    </row>
    <row r="32" spans="2:5" ht="30">
      <c r="B32" s="175" t="s">
        <v>158</v>
      </c>
      <c r="C32" s="164" t="s">
        <v>166</v>
      </c>
      <c r="D32" s="176">
        <f>'Свод 2020'!AG72</f>
        <v>67808.45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2020'!AI72</f>
        <v>99358.21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2020'!AK72</f>
        <v>84289.67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2020'!AL72</f>
        <v>40025.82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2020'!AM72</f>
        <v>68750.23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2020'!AJ72</f>
        <v>76755.399999999994</v>
      </c>
      <c r="E43" s="22">
        <f>D44-C8-C13</f>
        <v>37727.529999999795</v>
      </c>
    </row>
    <row r="44" spans="2:5" ht="15" thickBot="1">
      <c r="B44" s="229" t="s">
        <v>253</v>
      </c>
      <c r="C44" s="230"/>
      <c r="D44" s="231">
        <f>SUM(D19:D43)</f>
        <v>1228726.3699999999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 ht="15.75">
      <c r="B53" s="102" t="s">
        <v>64</v>
      </c>
      <c r="C53" s="102"/>
    </row>
    <row r="59" spans="2:4" ht="20.25">
      <c r="B59" s="103"/>
    </row>
  </sheetData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ageMargins left="0.25" right="0.25" top="0.75" bottom="0.75" header="0.3" footer="0.3"/>
  <pageSetup paperSize="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topLeftCell="A35" workbookViewId="0">
      <selection activeCell="C21" sqref="C21:D21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391</v>
      </c>
      <c r="C3" s="264"/>
      <c r="D3" s="264"/>
    </row>
    <row r="4" spans="2:6" ht="15.75" thickBot="1">
      <c r="B4" s="57" t="s">
        <v>290</v>
      </c>
      <c r="C4" s="226">
        <f>'Свод 2020'!H73</f>
        <v>1926.3</v>
      </c>
      <c r="D4" s="217">
        <f>'Свод 2020'!J73</f>
        <v>25.92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2020'!H73</f>
        <v>1926.3</v>
      </c>
      <c r="F5" s="22">
        <f>'Свод 2020'!J70</f>
        <v>25.92</v>
      </c>
    </row>
    <row r="6" spans="2:6" ht="30">
      <c r="B6" s="178" t="s">
        <v>321</v>
      </c>
      <c r="C6" s="272">
        <f>'Свод 2020'!K73</f>
        <v>235374.33999999991</v>
      </c>
      <c r="D6" s="273"/>
    </row>
    <row r="7" spans="2:6" ht="15">
      <c r="B7" s="40" t="s">
        <v>322</v>
      </c>
      <c r="C7" s="261">
        <f>'Свод 2020'!L73</f>
        <v>602536.18000000005</v>
      </c>
      <c r="D7" s="262"/>
    </row>
    <row r="8" spans="2:6" ht="15">
      <c r="B8" s="40" t="s">
        <v>323</v>
      </c>
      <c r="C8" s="261">
        <f>'Свод 2020'!M73</f>
        <v>648971.13</v>
      </c>
      <c r="D8" s="262"/>
    </row>
    <row r="9" spans="2:6" ht="15">
      <c r="B9" s="40" t="s">
        <v>127</v>
      </c>
      <c r="C9" s="261">
        <f>'Свод 2020'!N73</f>
        <v>0</v>
      </c>
      <c r="D9" s="262"/>
    </row>
    <row r="10" spans="2:6" ht="28.5">
      <c r="B10" s="41" t="s">
        <v>147</v>
      </c>
      <c r="C10" s="274">
        <f>C6+C7-C8+C9</f>
        <v>188939.39</v>
      </c>
      <c r="D10" s="275"/>
      <c r="E10" s="22">
        <f>'Свод 2020'!O73</f>
        <v>188939.39</v>
      </c>
      <c r="F10" s="125"/>
    </row>
    <row r="11" spans="2:6" ht="30">
      <c r="B11" s="178" t="s">
        <v>333</v>
      </c>
      <c r="C11" s="261">
        <f>'Свод 2020'!Q73</f>
        <v>0</v>
      </c>
      <c r="D11" s="262"/>
    </row>
    <row r="12" spans="2:6" ht="15">
      <c r="B12" s="40" t="s">
        <v>324</v>
      </c>
      <c r="C12" s="261">
        <f>'Свод 2020'!R73</f>
        <v>0</v>
      </c>
      <c r="D12" s="262"/>
    </row>
    <row r="13" spans="2:6" ht="15">
      <c r="B13" s="40" t="s">
        <v>325</v>
      </c>
      <c r="C13" s="261">
        <f>'Свод 2020'!S73</f>
        <v>0</v>
      </c>
      <c r="D13" s="262"/>
    </row>
    <row r="14" spans="2:6" ht="28.5">
      <c r="B14" s="41" t="s">
        <v>151</v>
      </c>
      <c r="C14" s="274">
        <f>C11+C12-C13</f>
        <v>0</v>
      </c>
      <c r="D14" s="275"/>
      <c r="E14" s="22">
        <f>'Свод 2020'!T73</f>
        <v>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2020'!W73</f>
        <v>141236.32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2020'!U73</f>
        <v>1618.09</v>
      </c>
    </row>
    <row r="22" spans="2:5" ht="15">
      <c r="B22" s="46" t="s">
        <v>134</v>
      </c>
      <c r="C22" s="47" t="s">
        <v>60</v>
      </c>
      <c r="D22" s="48">
        <f>'Свод 2020'!V73</f>
        <v>10279.33</v>
      </c>
    </row>
    <row r="23" spans="2:5" ht="30">
      <c r="B23" s="46" t="s">
        <v>161</v>
      </c>
      <c r="C23" s="94" t="s">
        <v>138</v>
      </c>
      <c r="D23" s="48">
        <f>'Свод 2020'!AA73+'Свод 2020'!Z73</f>
        <v>21959.82</v>
      </c>
    </row>
    <row r="24" spans="2:5" ht="28.5" customHeight="1">
      <c r="B24" s="124" t="s">
        <v>141</v>
      </c>
      <c r="C24" s="49" t="s">
        <v>140</v>
      </c>
      <c r="D24" s="209">
        <f>'Свод 2020'!AC73</f>
        <v>693.47</v>
      </c>
    </row>
    <row r="25" spans="2:5" ht="28.5" customHeight="1">
      <c r="B25" s="154" t="s">
        <v>142</v>
      </c>
      <c r="C25" s="98" t="s">
        <v>143</v>
      </c>
      <c r="D25" s="215">
        <f>'Свод 2020'!AB73</f>
        <v>924.62</v>
      </c>
    </row>
    <row r="26" spans="2:5" ht="21.75" customHeight="1">
      <c r="B26" s="202" t="s">
        <v>153</v>
      </c>
      <c r="C26" s="47" t="s">
        <v>59</v>
      </c>
      <c r="D26" s="203">
        <f>'Свод 2020'!AD73</f>
        <v>20341.73</v>
      </c>
    </row>
    <row r="27" spans="2:5" ht="30.75" customHeight="1">
      <c r="B27" s="105" t="s">
        <v>144</v>
      </c>
      <c r="C27" s="164" t="s">
        <v>135</v>
      </c>
      <c r="D27" s="283">
        <f>'Свод 2020'!AE73</f>
        <v>74894.539999999994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02" t="s">
        <v>291</v>
      </c>
      <c r="C31" s="164" t="s">
        <v>166</v>
      </c>
      <c r="D31" s="209">
        <f>'Свод 2020'!Y73</f>
        <v>165714.23000000001</v>
      </c>
    </row>
    <row r="32" spans="2:5" ht="30">
      <c r="B32" s="175" t="s">
        <v>158</v>
      </c>
      <c r="C32" s="164" t="s">
        <v>166</v>
      </c>
      <c r="D32" s="176">
        <f>'Свод 2020'!AG73</f>
        <v>33286.46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2020'!AI73</f>
        <v>48773.919999999998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2020'!AK73</f>
        <v>41376.92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2020'!AL73</f>
        <v>19648.259999999998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2020'!AM73</f>
        <v>33748.78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2020'!AJ73</f>
        <v>91993.43</v>
      </c>
      <c r="E43" s="22">
        <f>D44-C8-C13-C9</f>
        <v>57518.790000000154</v>
      </c>
    </row>
    <row r="44" spans="2:5" ht="15" thickBot="1">
      <c r="B44" s="229" t="s">
        <v>253</v>
      </c>
      <c r="C44" s="230"/>
      <c r="D44" s="231">
        <f>SUM(D19:D43)</f>
        <v>706489.92000000016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 ht="15.75">
      <c r="B53" s="102" t="s">
        <v>64</v>
      </c>
      <c r="C53" s="102"/>
    </row>
    <row r="59" spans="2:4" ht="20.25">
      <c r="B59" s="103"/>
    </row>
  </sheetData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ageMargins left="0.25" right="0.25" top="0.75" bottom="0.75" header="0.3" footer="0.3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topLeftCell="A41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392</v>
      </c>
      <c r="C3" s="264"/>
      <c r="D3" s="264"/>
    </row>
    <row r="4" spans="2:6" ht="15.75" thickBot="1">
      <c r="B4" s="57" t="s">
        <v>292</v>
      </c>
      <c r="C4" s="226">
        <f>'Свод 2020'!H74</f>
        <v>2665</v>
      </c>
      <c r="D4" s="217">
        <f>'Свод 2020'!J74</f>
        <v>21.73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2020'!H74</f>
        <v>2665</v>
      </c>
      <c r="F5" s="22">
        <f>'Свод 2020'!J74</f>
        <v>21.73</v>
      </c>
    </row>
    <row r="6" spans="2:6" ht="30">
      <c r="B6" s="178" t="s">
        <v>321</v>
      </c>
      <c r="C6" s="272">
        <f>'Свод 2020'!K74</f>
        <v>91998.290000000037</v>
      </c>
      <c r="D6" s="273"/>
    </row>
    <row r="7" spans="2:6" ht="15">
      <c r="B7" s="40" t="s">
        <v>322</v>
      </c>
      <c r="C7" s="261">
        <f>'Свод 2020'!L74</f>
        <v>675942.6</v>
      </c>
      <c r="D7" s="262"/>
    </row>
    <row r="8" spans="2:6" ht="15">
      <c r="B8" s="40" t="s">
        <v>323</v>
      </c>
      <c r="C8" s="261">
        <f>'Свод 2020'!M74</f>
        <v>688475.28</v>
      </c>
      <c r="D8" s="262"/>
    </row>
    <row r="9" spans="2:6" ht="15">
      <c r="B9" s="40" t="s">
        <v>127</v>
      </c>
      <c r="C9" s="261">
        <f>'Свод 2020'!N73</f>
        <v>0</v>
      </c>
      <c r="D9" s="262"/>
    </row>
    <row r="10" spans="2:6" ht="28.5">
      <c r="B10" s="41" t="s">
        <v>147</v>
      </c>
      <c r="C10" s="274">
        <f>C6+C7-C8+C9</f>
        <v>79465.609999999986</v>
      </c>
      <c r="D10" s="275"/>
      <c r="E10" s="22">
        <f>'Свод 2020'!O74</f>
        <v>79465.609999999986</v>
      </c>
      <c r="F10" s="125"/>
    </row>
    <row r="11" spans="2:6" ht="30">
      <c r="B11" s="178" t="s">
        <v>333</v>
      </c>
      <c r="C11" s="261">
        <f>'Свод 2020'!Q74</f>
        <v>1646.0099999999984</v>
      </c>
      <c r="D11" s="262"/>
    </row>
    <row r="12" spans="2:6" ht="15">
      <c r="B12" s="40" t="s">
        <v>324</v>
      </c>
      <c r="C12" s="261">
        <f>'Свод 2020'!R74</f>
        <v>27982.17</v>
      </c>
      <c r="D12" s="262"/>
    </row>
    <row r="13" spans="2:6" ht="15">
      <c r="B13" s="40" t="s">
        <v>325</v>
      </c>
      <c r="C13" s="261">
        <f>'Свод 2020'!S74</f>
        <v>28036.04</v>
      </c>
      <c r="D13" s="262"/>
    </row>
    <row r="14" spans="2:6" ht="28.5">
      <c r="B14" s="41" t="s">
        <v>151</v>
      </c>
      <c r="C14" s="274">
        <f>C11+C12-C13</f>
        <v>1592.1399999999958</v>
      </c>
      <c r="D14" s="275"/>
      <c r="E14" s="22">
        <f>'Свод 2020'!T74</f>
        <v>1592.1399999999958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2020'!W74</f>
        <v>195397.8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2020'!U74</f>
        <v>2238.6</v>
      </c>
    </row>
    <row r="22" spans="2:5" ht="15">
      <c r="B22" s="46" t="s">
        <v>134</v>
      </c>
      <c r="C22" s="47" t="s">
        <v>60</v>
      </c>
      <c r="D22" s="48">
        <f>'Свод 2020'!V74</f>
        <v>48045.4</v>
      </c>
    </row>
    <row r="23" spans="2:5" ht="30">
      <c r="B23" s="46" t="s">
        <v>161</v>
      </c>
      <c r="C23" s="94" t="s">
        <v>138</v>
      </c>
      <c r="D23" s="48">
        <f>'Свод 2020'!AA74+'Свод 2020'!Z74</f>
        <v>30381</v>
      </c>
    </row>
    <row r="24" spans="2:5" ht="28.5" customHeight="1">
      <c r="B24" s="124" t="s">
        <v>141</v>
      </c>
      <c r="C24" s="49" t="s">
        <v>140</v>
      </c>
      <c r="D24" s="209">
        <f>'Свод 2020'!AC74</f>
        <v>2302.98</v>
      </c>
    </row>
    <row r="25" spans="2:5" ht="28.5" customHeight="1">
      <c r="B25" s="154" t="s">
        <v>142</v>
      </c>
      <c r="C25" s="98" t="s">
        <v>143</v>
      </c>
      <c r="D25" s="209">
        <f>'Свод 2020'!AB74</f>
        <v>1279.2</v>
      </c>
    </row>
    <row r="26" spans="2:5" ht="21.75" customHeight="1" thickBot="1">
      <c r="B26" s="172" t="s">
        <v>153</v>
      </c>
      <c r="C26" s="173" t="s">
        <v>59</v>
      </c>
      <c r="D26" s="174">
        <f>'Свод 2020'!AD74</f>
        <v>28142.400000000001</v>
      </c>
    </row>
    <row r="27" spans="2:5" ht="30.75" customHeight="1">
      <c r="B27" s="95" t="s">
        <v>144</v>
      </c>
      <c r="C27" s="150" t="s">
        <v>135</v>
      </c>
      <c r="D27" s="286">
        <f>'Свод 2020'!AE74</f>
        <v>103615.2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2020'!AG74</f>
        <v>46051.199999999997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2020'!AI74</f>
        <v>99457.8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2020'!AK74</f>
        <v>57244.2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2020'!AL74</f>
        <v>27183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2020'!AM74</f>
        <v>46690.8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2020'!AJ74</f>
        <v>52127.4</v>
      </c>
      <c r="E42" s="22">
        <f>D43-C8-C9-C13</f>
        <v>23645.660000000069</v>
      </c>
    </row>
    <row r="43" spans="2:5" ht="15" thickBot="1">
      <c r="B43" s="229" t="s">
        <v>253</v>
      </c>
      <c r="C43" s="230"/>
      <c r="D43" s="231">
        <f>SUM(D19:D42)</f>
        <v>740156.9800000001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ageMargins left="0.24" right="0.24" top="0.2" bottom="0.23" header="0.17" footer="0.17"/>
  <pageSetup paperSize="9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CCFF"/>
  </sheetPr>
  <dimension ref="B1:F61"/>
  <sheetViews>
    <sheetView topLeftCell="A38" workbookViewId="0">
      <selection activeCell="B16" sqref="B16:D16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346</v>
      </c>
      <c r="C3" s="264"/>
      <c r="D3" s="264"/>
    </row>
    <row r="4" spans="2:6" ht="15.75" thickBot="1">
      <c r="B4" s="57" t="s">
        <v>293</v>
      </c>
      <c r="C4" s="226">
        <f>'Свод 2020'!H75</f>
        <v>3482.6</v>
      </c>
      <c r="D4" s="217">
        <f>'Свод 2020'!J75</f>
        <v>25.92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2020'!H75</f>
        <v>3482.6</v>
      </c>
      <c r="F5" s="22">
        <f>'Свод 2020'!J75</f>
        <v>25.92</v>
      </c>
    </row>
    <row r="6" spans="2:6" ht="30">
      <c r="B6" s="178" t="s">
        <v>321</v>
      </c>
      <c r="C6" s="272">
        <f>'Свод 2020'!K75</f>
        <v>196206.84999999998</v>
      </c>
      <c r="D6" s="273"/>
    </row>
    <row r="7" spans="2:6" ht="15">
      <c r="B7" s="40" t="s">
        <v>322</v>
      </c>
      <c r="C7" s="261">
        <f>'Свод 2020'!L75</f>
        <v>830383.2</v>
      </c>
      <c r="D7" s="262"/>
    </row>
    <row r="8" spans="2:6" ht="15">
      <c r="B8" s="40" t="s">
        <v>323</v>
      </c>
      <c r="C8" s="261">
        <f>'Свод 2020'!M75</f>
        <v>805811.57</v>
      </c>
      <c r="D8" s="262"/>
    </row>
    <row r="9" spans="2:6" ht="15">
      <c r="B9" s="40" t="s">
        <v>127</v>
      </c>
      <c r="C9" s="261">
        <f>'Свод 2020'!N75</f>
        <v>0</v>
      </c>
      <c r="D9" s="262"/>
    </row>
    <row r="10" spans="2:6" ht="28.5">
      <c r="B10" s="41" t="s">
        <v>147</v>
      </c>
      <c r="C10" s="274">
        <f>C6+C7-C8+C9</f>
        <v>220778.47999999998</v>
      </c>
      <c r="D10" s="275"/>
      <c r="E10" s="22">
        <f>'Свод 2020'!O75</f>
        <v>220778.47999999998</v>
      </c>
      <c r="F10" s="125"/>
    </row>
    <row r="11" spans="2:6" ht="30">
      <c r="B11" s="178" t="s">
        <v>333</v>
      </c>
      <c r="C11" s="261">
        <f>'Свод 2020'!Q75</f>
        <v>50979.78</v>
      </c>
      <c r="D11" s="262"/>
    </row>
    <row r="12" spans="2:6" ht="15">
      <c r="B12" s="40" t="s">
        <v>324</v>
      </c>
      <c r="C12" s="261">
        <f>'Свод 2020'!R75</f>
        <v>206276.69</v>
      </c>
      <c r="D12" s="262"/>
    </row>
    <row r="13" spans="2:6" ht="15">
      <c r="B13" s="40" t="s">
        <v>325</v>
      </c>
      <c r="C13" s="261">
        <f>'Свод 2020'!S75</f>
        <v>178918.7</v>
      </c>
      <c r="D13" s="262"/>
    </row>
    <row r="14" spans="2:6" ht="28.5">
      <c r="B14" s="41" t="s">
        <v>151</v>
      </c>
      <c r="C14" s="274">
        <f>C11+C12-C13</f>
        <v>78337.76999999999</v>
      </c>
      <c r="D14" s="275"/>
      <c r="E14" s="22">
        <f>'Свод 2020'!T75</f>
        <v>78337.76999999999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2020'!W75</f>
        <v>174269.3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2020'!U75</f>
        <v>2925.38</v>
      </c>
    </row>
    <row r="22" spans="2:5" ht="15">
      <c r="B22" s="46" t="s">
        <v>134</v>
      </c>
      <c r="C22" s="47" t="s">
        <v>60</v>
      </c>
      <c r="D22" s="48">
        <f>'Свод 2020'!V75</f>
        <v>15268.27</v>
      </c>
    </row>
    <row r="23" spans="2:5" ht="30">
      <c r="B23" s="46" t="s">
        <v>161</v>
      </c>
      <c r="C23" s="94" t="s">
        <v>138</v>
      </c>
      <c r="D23" s="48">
        <f>'Свод 2020'!AA75+'Свод 2020'!Z75</f>
        <v>39701.630000000005</v>
      </c>
    </row>
    <row r="24" spans="2:5" ht="28.5" customHeight="1">
      <c r="B24" s="124" t="s">
        <v>141</v>
      </c>
      <c r="C24" s="49" t="s">
        <v>140</v>
      </c>
      <c r="D24" s="209">
        <f>'Свод 2020'!AC75</f>
        <v>1253.74</v>
      </c>
    </row>
    <row r="25" spans="2:5" ht="28.5" customHeight="1">
      <c r="B25" s="154" t="s">
        <v>142</v>
      </c>
      <c r="C25" s="98" t="s">
        <v>143</v>
      </c>
      <c r="D25" s="215">
        <f>'Свод 2020'!AB75</f>
        <v>1671.65</v>
      </c>
    </row>
    <row r="26" spans="2:5" ht="21.75" customHeight="1">
      <c r="B26" s="202" t="s">
        <v>153</v>
      </c>
      <c r="C26" s="47" t="s">
        <v>59</v>
      </c>
      <c r="D26" s="203">
        <f>'Свод 2020'!AD75</f>
        <v>36776.26</v>
      </c>
    </row>
    <row r="27" spans="2:5" ht="30.75" customHeight="1">
      <c r="B27" s="105" t="s">
        <v>144</v>
      </c>
      <c r="C27" s="164" t="s">
        <v>135</v>
      </c>
      <c r="D27" s="283">
        <f>'Свод 2020'!AE75</f>
        <v>135403.49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">
      <c r="B30" s="149" t="s">
        <v>4</v>
      </c>
      <c r="C30" s="151" t="s">
        <v>5</v>
      </c>
      <c r="D30" s="283"/>
    </row>
    <row r="31" spans="2:5" ht="15">
      <c r="B31" s="202" t="s">
        <v>289</v>
      </c>
      <c r="C31" s="164" t="s">
        <v>166</v>
      </c>
      <c r="D31" s="209">
        <f>'Свод 2020'!Y75</f>
        <v>297971.26</v>
      </c>
    </row>
    <row r="32" spans="2:5" ht="30">
      <c r="B32" s="175" t="s">
        <v>158</v>
      </c>
      <c r="C32" s="164" t="s">
        <v>166</v>
      </c>
      <c r="D32" s="176">
        <f>'Свод 2020'!AG75</f>
        <v>60179.33</v>
      </c>
    </row>
    <row r="33" spans="2:5" ht="30">
      <c r="B33" s="148" t="s">
        <v>133</v>
      </c>
      <c r="C33" s="53"/>
      <c r="D33" s="54"/>
    </row>
    <row r="34" spans="2:5" ht="59.25">
      <c r="B34" s="124" t="s">
        <v>182</v>
      </c>
      <c r="C34" s="94" t="s">
        <v>181</v>
      </c>
      <c r="D34" s="89">
        <f>'Свод 2020'!AI75</f>
        <v>92579.43</v>
      </c>
    </row>
    <row r="35" spans="2:5" ht="60.75" thickBot="1">
      <c r="B35" s="148" t="s">
        <v>162</v>
      </c>
      <c r="C35" s="151"/>
      <c r="D35" s="89"/>
    </row>
    <row r="36" spans="2:5" ht="15">
      <c r="B36" s="155" t="s">
        <v>129</v>
      </c>
      <c r="C36" s="156"/>
      <c r="D36" s="157"/>
    </row>
    <row r="37" spans="2:5" ht="120.75" thickBot="1">
      <c r="B37" s="158" t="s">
        <v>154</v>
      </c>
      <c r="C37" s="159" t="s">
        <v>139</v>
      </c>
      <c r="D37" s="160">
        <f>'Свод 2020'!AK75</f>
        <v>74806.25</v>
      </c>
    </row>
    <row r="38" spans="2:5" ht="15">
      <c r="B38" s="155" t="s">
        <v>130</v>
      </c>
      <c r="C38" s="161"/>
      <c r="D38" s="162"/>
    </row>
    <row r="39" spans="2:5" ht="45.75" thickBot="1">
      <c r="B39" s="158" t="s">
        <v>155</v>
      </c>
      <c r="C39" s="159" t="s">
        <v>139</v>
      </c>
      <c r="D39" s="163">
        <f>'Свод 2020'!AL75</f>
        <v>35522.519999999997</v>
      </c>
    </row>
    <row r="40" spans="2:5" ht="15">
      <c r="B40" s="155" t="s">
        <v>131</v>
      </c>
      <c r="C40" s="165"/>
      <c r="D40" s="166"/>
    </row>
    <row r="41" spans="2:5" ht="44.25" customHeight="1" thickBot="1">
      <c r="B41" s="158" t="s">
        <v>148</v>
      </c>
      <c r="C41" s="159" t="s">
        <v>139</v>
      </c>
      <c r="D41" s="163">
        <f>'Свод 2020'!AM75</f>
        <v>61015.15</v>
      </c>
    </row>
    <row r="42" spans="2:5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2020'!AJ75</f>
        <v>68119.66</v>
      </c>
      <c r="E43" s="22">
        <f>D44-C8-C13</f>
        <v>112733.0500000001</v>
      </c>
    </row>
    <row r="44" spans="2:5" ht="15" thickBot="1">
      <c r="B44" s="229" t="s">
        <v>253</v>
      </c>
      <c r="C44" s="230"/>
      <c r="D44" s="231">
        <f>SUM(D19:D43)</f>
        <v>1097463.32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>
      <c r="B49" s="19"/>
      <c r="C49" s="19"/>
      <c r="D49" s="18"/>
    </row>
    <row r="50" spans="2:4" ht="20.25">
      <c r="B50" s="263" t="s">
        <v>87</v>
      </c>
      <c r="C50" s="263"/>
      <c r="D50" s="263"/>
    </row>
    <row r="51" spans="2:4" ht="20.25">
      <c r="B51" s="263" t="s">
        <v>50</v>
      </c>
      <c r="C51" s="263"/>
      <c r="D51" s="263"/>
    </row>
    <row r="52" spans="2:4" ht="20.25">
      <c r="B52" s="263" t="s">
        <v>49</v>
      </c>
      <c r="C52" s="263"/>
      <c r="D52" s="263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 ht="15.75">
      <c r="B55" s="102" t="s">
        <v>64</v>
      </c>
      <c r="C55" s="102"/>
    </row>
    <row r="61" spans="2:4" ht="20.25">
      <c r="B61" s="103"/>
    </row>
  </sheetData>
  <mergeCells count="24">
    <mergeCell ref="B52:D52"/>
    <mergeCell ref="D27:D30"/>
    <mergeCell ref="C45:D46"/>
    <mergeCell ref="B47:D47"/>
    <mergeCell ref="B50:D50"/>
    <mergeCell ref="B51:D51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ageMargins left="0" right="0" top="0" bottom="0" header="0.31496062992125984" footer="0.31496062992125984"/>
  <pageSetup paperSize="9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2"/>
  <sheetViews>
    <sheetView topLeftCell="A41" workbookViewId="0"/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393</v>
      </c>
      <c r="C3" s="264"/>
      <c r="D3" s="264"/>
    </row>
    <row r="4" spans="2:6" ht="15.75" thickBot="1">
      <c r="B4" s="57" t="s">
        <v>294</v>
      </c>
      <c r="C4" s="226">
        <f>'Свод 2020'!H76</f>
        <v>6349</v>
      </c>
      <c r="D4" s="217">
        <f>'Свод 2020'!J76</f>
        <v>35.76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2020'!H75</f>
        <v>3482.6</v>
      </c>
      <c r="F5" s="22">
        <f>'Свод 2020'!J75</f>
        <v>25.92</v>
      </c>
    </row>
    <row r="6" spans="2:6" ht="30">
      <c r="B6" s="178" t="s">
        <v>321</v>
      </c>
      <c r="C6" s="272">
        <f>'Свод 2020'!K76</f>
        <v>1763003.21</v>
      </c>
      <c r="D6" s="273"/>
    </row>
    <row r="7" spans="2:6" ht="15">
      <c r="B7" s="40" t="s">
        <v>322</v>
      </c>
      <c r="C7" s="261">
        <f>'Свод 2020'!L76</f>
        <v>2684360.88</v>
      </c>
      <c r="D7" s="262"/>
    </row>
    <row r="8" spans="2:6" ht="15">
      <c r="B8" s="40" t="s">
        <v>323</v>
      </c>
      <c r="C8" s="261">
        <f>'Свод 2020'!M76</f>
        <v>1568468.91</v>
      </c>
      <c r="D8" s="262"/>
    </row>
    <row r="9" spans="2:6" ht="15">
      <c r="B9" s="40" t="s">
        <v>127</v>
      </c>
      <c r="C9" s="261">
        <f>'Свод 2020'!N76</f>
        <v>0</v>
      </c>
      <c r="D9" s="262"/>
    </row>
    <row r="10" spans="2:6" ht="28.5">
      <c r="B10" s="41" t="s">
        <v>147</v>
      </c>
      <c r="C10" s="274">
        <f>C6+C7-C8+C9</f>
        <v>2878895.1799999997</v>
      </c>
      <c r="D10" s="275"/>
      <c r="E10" s="22">
        <f>'Свод 2020'!O75</f>
        <v>220778.47999999998</v>
      </c>
      <c r="F10" s="125"/>
    </row>
    <row r="11" spans="2:6" ht="30">
      <c r="B11" s="178" t="s">
        <v>333</v>
      </c>
      <c r="C11" s="261">
        <f>'Свод 2020'!Q76</f>
        <v>-3648.3699999999953</v>
      </c>
      <c r="D11" s="262"/>
    </row>
    <row r="12" spans="2:6" ht="15">
      <c r="B12" s="40" t="s">
        <v>324</v>
      </c>
      <c r="C12" s="261">
        <f>'Свод 2020'!R76</f>
        <v>62357.98</v>
      </c>
      <c r="D12" s="262"/>
    </row>
    <row r="13" spans="2:6" ht="15">
      <c r="B13" s="40" t="s">
        <v>325</v>
      </c>
      <c r="C13" s="261">
        <f>'Свод 2020'!S76</f>
        <v>62281.36</v>
      </c>
      <c r="D13" s="262"/>
    </row>
    <row r="14" spans="2:6" ht="28.5">
      <c r="B14" s="41" t="s">
        <v>151</v>
      </c>
      <c r="C14" s="274">
        <f>C11+C12-C13</f>
        <v>-3571.7499999999927</v>
      </c>
      <c r="D14" s="275"/>
      <c r="E14" s="22">
        <f>'Свод 2020'!T75</f>
        <v>78337.76999999999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2020'!W76</f>
        <v>465508.68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2020'!U76</f>
        <v>5333.16</v>
      </c>
    </row>
    <row r="22" spans="2:5" ht="15">
      <c r="B22" s="46" t="s">
        <v>134</v>
      </c>
      <c r="C22" s="47" t="s">
        <v>60</v>
      </c>
      <c r="D22" s="48">
        <f>'Свод 2020'!V76</f>
        <v>47761.11</v>
      </c>
    </row>
    <row r="23" spans="2:5" ht="30">
      <c r="B23" s="46" t="s">
        <v>161</v>
      </c>
      <c r="C23" s="94" t="s">
        <v>138</v>
      </c>
      <c r="D23" s="48">
        <f>'Свод 2020'!AA76+'Свод 2020'!Z76</f>
        <v>72378.600000000006</v>
      </c>
    </row>
    <row r="24" spans="2:5" ht="28.5" customHeight="1">
      <c r="B24" s="124" t="s">
        <v>141</v>
      </c>
      <c r="C24" s="49" t="s">
        <v>140</v>
      </c>
      <c r="D24" s="209">
        <f>'Свод 2020'!AC76</f>
        <v>2285.64</v>
      </c>
    </row>
    <row r="25" spans="2:5" ht="28.5" customHeight="1">
      <c r="B25" s="154" t="s">
        <v>142</v>
      </c>
      <c r="C25" s="98" t="s">
        <v>143</v>
      </c>
      <c r="D25" s="215">
        <f>'Свод 2020'!AB76</f>
        <v>3047.52</v>
      </c>
    </row>
    <row r="26" spans="2:5" ht="21.75" customHeight="1">
      <c r="B26" s="202" t="s">
        <v>153</v>
      </c>
      <c r="C26" s="47" t="s">
        <v>59</v>
      </c>
      <c r="D26" s="203">
        <f>'Свод 2020'!AD76</f>
        <v>0</v>
      </c>
    </row>
    <row r="27" spans="2:5" ht="30.75" customHeight="1">
      <c r="B27" s="105" t="s">
        <v>144</v>
      </c>
      <c r="C27" s="164" t="s">
        <v>135</v>
      </c>
      <c r="D27" s="283">
        <f>'Свод 2020'!AE76</f>
        <v>246849.12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15">
      <c r="B31" s="241" t="s">
        <v>295</v>
      </c>
      <c r="C31" s="242" t="s">
        <v>61</v>
      </c>
      <c r="D31" s="236">
        <f>'Свод 2020'!X76</f>
        <v>184374.96</v>
      </c>
    </row>
    <row r="32" spans="2:5" ht="15">
      <c r="B32" s="202" t="s">
        <v>289</v>
      </c>
      <c r="C32" s="94" t="s">
        <v>166</v>
      </c>
      <c r="D32" s="209">
        <f>'Свод 2020'!Y76</f>
        <v>951588.12</v>
      </c>
    </row>
    <row r="33" spans="2:5" ht="30">
      <c r="B33" s="175" t="s">
        <v>158</v>
      </c>
      <c r="C33" s="164" t="s">
        <v>166</v>
      </c>
      <c r="D33" s="176">
        <f>'Свод 2020'!AG76</f>
        <v>109710.72</v>
      </c>
    </row>
    <row r="34" spans="2:5" ht="30">
      <c r="B34" s="148" t="s">
        <v>133</v>
      </c>
      <c r="C34" s="53"/>
      <c r="D34" s="54"/>
    </row>
    <row r="35" spans="2:5" ht="59.25">
      <c r="B35" s="124" t="s">
        <v>182</v>
      </c>
      <c r="C35" s="94" t="s">
        <v>181</v>
      </c>
      <c r="D35" s="89">
        <f>'Свод 2020'!AI76</f>
        <v>236944.68</v>
      </c>
    </row>
    <row r="36" spans="2:5" ht="60.75" thickBot="1">
      <c r="B36" s="148" t="s">
        <v>162</v>
      </c>
      <c r="C36" s="151"/>
      <c r="D36" s="89"/>
    </row>
    <row r="37" spans="2:5" ht="15">
      <c r="B37" s="155" t="s">
        <v>129</v>
      </c>
      <c r="C37" s="156"/>
      <c r="D37" s="157"/>
    </row>
    <row r="38" spans="2:5" ht="120.75" thickBot="1">
      <c r="B38" s="158" t="s">
        <v>154</v>
      </c>
      <c r="C38" s="159" t="s">
        <v>139</v>
      </c>
      <c r="D38" s="160">
        <f>'Свод 2020'!AK76</f>
        <v>136376.51999999999</v>
      </c>
    </row>
    <row r="39" spans="2:5" ht="15">
      <c r="B39" s="155" t="s">
        <v>130</v>
      </c>
      <c r="C39" s="161"/>
      <c r="D39" s="162"/>
    </row>
    <row r="40" spans="2:5" ht="45.75" thickBot="1">
      <c r="B40" s="158" t="s">
        <v>155</v>
      </c>
      <c r="C40" s="159" t="s">
        <v>139</v>
      </c>
      <c r="D40" s="163">
        <f>'Свод 2020'!AL76</f>
        <v>64759.8</v>
      </c>
    </row>
    <row r="41" spans="2:5" ht="15">
      <c r="B41" s="155" t="s">
        <v>131</v>
      </c>
      <c r="C41" s="165"/>
      <c r="D41" s="166"/>
    </row>
    <row r="42" spans="2:5" ht="44.25" customHeight="1" thickBot="1">
      <c r="B42" s="158" t="s">
        <v>148</v>
      </c>
      <c r="C42" s="159" t="s">
        <v>139</v>
      </c>
      <c r="D42" s="163">
        <f>'Свод 2020'!AM76</f>
        <v>111234.48</v>
      </c>
    </row>
    <row r="43" spans="2:5" ht="19.5" customHeight="1">
      <c r="B43" s="167" t="s">
        <v>149</v>
      </c>
      <c r="C43" s="150"/>
      <c r="D43" s="168"/>
    </row>
    <row r="44" spans="2:5" ht="120.75" thickBot="1">
      <c r="B44" s="158" t="s">
        <v>163</v>
      </c>
      <c r="C44" s="159" t="s">
        <v>139</v>
      </c>
      <c r="D44" s="104">
        <f>'Свод 2020'!AJ76</f>
        <v>124186.44</v>
      </c>
      <c r="E44" s="22">
        <f>D45-C8-C13</f>
        <v>1131589.2799999998</v>
      </c>
    </row>
    <row r="45" spans="2:5" ht="15" thickBot="1">
      <c r="B45" s="229" t="s">
        <v>253</v>
      </c>
      <c r="C45" s="230"/>
      <c r="D45" s="231">
        <f>SUM(D19:D44)</f>
        <v>2762339.55</v>
      </c>
    </row>
    <row r="46" spans="2:5" ht="15" customHeight="1">
      <c r="B46" s="169" t="s">
        <v>145</v>
      </c>
      <c r="C46" s="279" t="s">
        <v>146</v>
      </c>
      <c r="D46" s="280"/>
    </row>
    <row r="47" spans="2:5" ht="52.5" customHeight="1" thickBot="1">
      <c r="B47" s="153" t="s">
        <v>159</v>
      </c>
      <c r="C47" s="281"/>
      <c r="D47" s="282"/>
    </row>
    <row r="48" spans="2:5" ht="14.25">
      <c r="B48" s="269" t="s">
        <v>227</v>
      </c>
      <c r="C48" s="269"/>
      <c r="D48" s="269"/>
    </row>
    <row r="49" spans="2:4" ht="14.25">
      <c r="B49" s="121"/>
      <c r="C49" s="121"/>
      <c r="D49" s="121"/>
    </row>
    <row r="50" spans="2:4">
      <c r="B50" s="19"/>
      <c r="C50" s="19"/>
      <c r="D50" s="18"/>
    </row>
    <row r="51" spans="2:4" ht="20.25">
      <c r="B51" s="263" t="s">
        <v>87</v>
      </c>
      <c r="C51" s="263"/>
      <c r="D51" s="263"/>
    </row>
    <row r="52" spans="2:4" ht="20.25">
      <c r="B52" s="263" t="s">
        <v>50</v>
      </c>
      <c r="C52" s="263"/>
      <c r="D52" s="263"/>
    </row>
    <row r="53" spans="2:4" ht="20.25">
      <c r="B53" s="263" t="s">
        <v>49</v>
      </c>
      <c r="C53" s="263"/>
      <c r="D53" s="263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 ht="15.75">
      <c r="B56" s="102" t="s">
        <v>64</v>
      </c>
      <c r="C56" s="102"/>
    </row>
    <row r="62" spans="2:4" ht="20.25">
      <c r="B62" s="103"/>
    </row>
  </sheetData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3:D53"/>
    <mergeCell ref="D27:D30"/>
    <mergeCell ref="C46:D47"/>
    <mergeCell ref="B48:D48"/>
    <mergeCell ref="B51:D51"/>
    <mergeCell ref="B52:D52"/>
  </mergeCells>
  <pageMargins left="0" right="0" top="0" bottom="0" header="0.31496062992125984" footer="0.31496062992125984"/>
  <pageSetup paperSize="9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B1:F60"/>
  <sheetViews>
    <sheetView topLeftCell="A35" workbookViewId="0">
      <selection activeCell="C17" sqref="C17:C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372</v>
      </c>
      <c r="C3" s="264"/>
      <c r="D3" s="264"/>
    </row>
    <row r="4" spans="2:6" ht="15.75" thickBot="1">
      <c r="B4" s="57" t="s">
        <v>296</v>
      </c>
      <c r="C4" s="226">
        <f>'Свод 2020'!H77</f>
        <v>1260</v>
      </c>
      <c r="D4" s="217">
        <f>'Свод 2020'!J77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2020'!H77</f>
        <v>1260</v>
      </c>
      <c r="F5" s="22">
        <f>'Свод 2020'!J77</f>
        <v>20.88</v>
      </c>
    </row>
    <row r="6" spans="2:6" ht="30">
      <c r="B6" s="178" t="s">
        <v>321</v>
      </c>
      <c r="C6" s="272">
        <f>'Свод 2020'!K77</f>
        <v>109612.09000000008</v>
      </c>
      <c r="D6" s="273"/>
    </row>
    <row r="7" spans="2:6" ht="15">
      <c r="B7" s="40" t="s">
        <v>322</v>
      </c>
      <c r="C7" s="261">
        <f>'Свод 2020'!L77</f>
        <v>315705.71999999997</v>
      </c>
      <c r="D7" s="262"/>
    </row>
    <row r="8" spans="2:6" ht="15">
      <c r="B8" s="40" t="s">
        <v>323</v>
      </c>
      <c r="C8" s="261">
        <f>'Свод 2020'!M77</f>
        <v>299747.71000000002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125570.10000000003</v>
      </c>
      <c r="D10" s="275"/>
      <c r="E10" s="22">
        <f>'Свод 2020'!O77</f>
        <v>125570.10000000003</v>
      </c>
      <c r="F10" s="125"/>
    </row>
    <row r="11" spans="2:6" ht="30">
      <c r="B11" s="178" t="s">
        <v>333</v>
      </c>
      <c r="C11" s="261">
        <f>'Свод 2020'!Q77</f>
        <v>1750</v>
      </c>
      <c r="D11" s="262"/>
    </row>
    <row r="12" spans="2:6" ht="15">
      <c r="B12" s="40" t="s">
        <v>324</v>
      </c>
      <c r="C12" s="261">
        <f>'Свод 2020'!R77</f>
        <v>8400</v>
      </c>
      <c r="D12" s="262"/>
    </row>
    <row r="13" spans="2:6" ht="15">
      <c r="B13" s="40" t="s">
        <v>325</v>
      </c>
      <c r="C13" s="261">
        <f>'Свод 2020'!S77</f>
        <v>8050</v>
      </c>
      <c r="D13" s="262"/>
    </row>
    <row r="14" spans="2:6" ht="28.5">
      <c r="B14" s="41" t="s">
        <v>151</v>
      </c>
      <c r="C14" s="274">
        <f>C11+C12-C13</f>
        <v>2100</v>
      </c>
      <c r="D14" s="275"/>
      <c r="E14" s="22">
        <f>'Свод 2020'!T77</f>
        <v>2100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2020'!W77</f>
        <v>92383.2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2020'!U77</f>
        <v>1058.4000000000001</v>
      </c>
    </row>
    <row r="22" spans="2:5" ht="15">
      <c r="B22" s="46" t="s">
        <v>134</v>
      </c>
      <c r="C22" s="47" t="s">
        <v>60</v>
      </c>
      <c r="D22" s="48">
        <f>'Свод 2020'!V77</f>
        <v>5602.74</v>
      </c>
    </row>
    <row r="23" spans="2:5" ht="30">
      <c r="B23" s="46" t="s">
        <v>161</v>
      </c>
      <c r="C23" s="94" t="s">
        <v>138</v>
      </c>
      <c r="D23" s="48">
        <f>'Свод 2020'!AA77+'Свод 2020'!Z77</f>
        <v>14364</v>
      </c>
    </row>
    <row r="24" spans="2:5" ht="28.5" customHeight="1">
      <c r="B24" s="124" t="s">
        <v>141</v>
      </c>
      <c r="C24" s="49" t="s">
        <v>140</v>
      </c>
      <c r="D24" s="209">
        <f>'Свод 2020'!AC77</f>
        <v>1775.42</v>
      </c>
    </row>
    <row r="25" spans="2:5" ht="28.5" customHeight="1">
      <c r="B25" s="154" t="s">
        <v>142</v>
      </c>
      <c r="C25" s="98" t="s">
        <v>143</v>
      </c>
      <c r="D25" s="215">
        <f>'Свод 2020'!AB77</f>
        <v>604.79999999999995</v>
      </c>
    </row>
    <row r="26" spans="2:5" ht="21.75" customHeight="1">
      <c r="B26" s="202" t="s">
        <v>153</v>
      </c>
      <c r="C26" s="47" t="s">
        <v>59</v>
      </c>
      <c r="D26" s="203">
        <f>'Свод 2020'!AD77</f>
        <v>13305.6</v>
      </c>
    </row>
    <row r="27" spans="2:5" ht="30.75" customHeight="1">
      <c r="B27" s="105" t="s">
        <v>144</v>
      </c>
      <c r="C27" s="164" t="s">
        <v>135</v>
      </c>
      <c r="D27" s="283">
        <f>'Свод 2020'!AE77</f>
        <v>48988.800000000003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2020'!AG77</f>
        <v>21772.799999999999</v>
      </c>
    </row>
    <row r="32" spans="2:5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2020'!AI77</f>
        <v>59323.199999999997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2020'!AK77</f>
        <v>14364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2020'!AL77</f>
        <v>12700.8</v>
      </c>
    </row>
    <row r="39" spans="2:4" ht="15.75" thickBot="1">
      <c r="B39" s="155" t="s">
        <v>131</v>
      </c>
      <c r="C39" s="165"/>
      <c r="D39" s="166"/>
    </row>
    <row r="40" spans="2:4" ht="59.25" customHeight="1" thickBot="1">
      <c r="B40" s="158" t="s">
        <v>148</v>
      </c>
      <c r="C40" s="159" t="s">
        <v>139</v>
      </c>
      <c r="D40" s="166">
        <f>'Свод 2020'!AM77</f>
        <v>22075.200000000001</v>
      </c>
    </row>
    <row r="41" spans="2:4" ht="19.5" customHeight="1">
      <c r="B41" s="167" t="s">
        <v>149</v>
      </c>
      <c r="C41" s="150"/>
      <c r="D41" s="168"/>
    </row>
    <row r="42" spans="2:4" ht="120.75" thickBot="1">
      <c r="B42" s="158" t="s">
        <v>163</v>
      </c>
      <c r="C42" s="159" t="s">
        <v>139</v>
      </c>
      <c r="D42" s="104">
        <f>'Свод 2020'!AJ77</f>
        <v>24645.599999999999</v>
      </c>
    </row>
    <row r="43" spans="2:4" ht="15" thickBot="1">
      <c r="B43" s="229" t="s">
        <v>253</v>
      </c>
      <c r="C43" s="230"/>
      <c r="D43" s="231">
        <f>SUM(D19:D42)</f>
        <v>332964.56</v>
      </c>
    </row>
    <row r="44" spans="2:4" ht="15" customHeight="1">
      <c r="B44" s="169" t="s">
        <v>145</v>
      </c>
      <c r="C44" s="279" t="s">
        <v>146</v>
      </c>
      <c r="D44" s="280"/>
    </row>
    <row r="45" spans="2:4" ht="52.5" customHeight="1" thickBot="1">
      <c r="B45" s="153" t="s">
        <v>159</v>
      </c>
      <c r="C45" s="281"/>
      <c r="D45" s="282"/>
    </row>
    <row r="46" spans="2:4" ht="14.25">
      <c r="B46" s="269" t="s">
        <v>215</v>
      </c>
      <c r="C46" s="269"/>
      <c r="D46" s="269"/>
    </row>
    <row r="47" spans="2:4" ht="14.25">
      <c r="B47" s="121"/>
      <c r="C47" s="121"/>
      <c r="D47" s="121"/>
    </row>
    <row r="48" spans="2:4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ageMargins left="0.24" right="0.24" top="0.17" bottom="0.17" header="0.17" footer="0.17"/>
  <pageSetup paperSize="9" orientation="portrait" verticalDpi="3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58">
    <tabColor theme="2" tint="-0.249977111117893"/>
  </sheetPr>
  <dimension ref="B1:F60"/>
  <sheetViews>
    <sheetView topLeftCell="A38" workbookViewId="0">
      <selection activeCell="C17" sqref="C17:C18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394</v>
      </c>
      <c r="C3" s="264"/>
      <c r="D3" s="264"/>
    </row>
    <row r="4" spans="2:6" ht="15.75" thickBot="1">
      <c r="B4" s="57" t="s">
        <v>297</v>
      </c>
      <c r="C4" s="226">
        <f>'Свод 2020'!H78</f>
        <v>1752.7</v>
      </c>
      <c r="D4" s="217">
        <f>'Свод 2020'!J78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2020'!H78</f>
        <v>1752.7</v>
      </c>
      <c r="F5" s="22">
        <f>'Свод 2020'!J77</f>
        <v>20.88</v>
      </c>
    </row>
    <row r="6" spans="2:6" ht="30">
      <c r="B6" s="178" t="s">
        <v>321</v>
      </c>
      <c r="C6" s="272">
        <f>'Свод 2020'!K78</f>
        <v>220187.83000000002</v>
      </c>
      <c r="D6" s="273"/>
    </row>
    <row r="7" spans="2:6" ht="15">
      <c r="B7" s="40" t="s">
        <v>322</v>
      </c>
      <c r="C7" s="261">
        <f>'Свод 2020'!L78</f>
        <v>439156.32</v>
      </c>
      <c r="D7" s="262"/>
    </row>
    <row r="8" spans="2:6" ht="15">
      <c r="B8" s="40" t="s">
        <v>323</v>
      </c>
      <c r="C8" s="261">
        <f>'Свод 2020'!M78</f>
        <v>441203.51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218140.64</v>
      </c>
      <c r="D10" s="275"/>
      <c r="E10" s="22">
        <f>'Свод 2020'!O78</f>
        <v>218140.64</v>
      </c>
      <c r="F10" s="125"/>
    </row>
    <row r="11" spans="2:6" ht="30">
      <c r="B11" s="178" t="s">
        <v>333</v>
      </c>
      <c r="C11" s="261">
        <f>'Свод 2020'!Q78</f>
        <v>1750</v>
      </c>
      <c r="D11" s="262"/>
    </row>
    <row r="12" spans="2:6" ht="15">
      <c r="B12" s="40" t="s">
        <v>324</v>
      </c>
      <c r="C12" s="261">
        <f>'Свод 2020'!R78</f>
        <v>8400</v>
      </c>
      <c r="D12" s="262"/>
    </row>
    <row r="13" spans="2:6" ht="15">
      <c r="B13" s="40" t="s">
        <v>325</v>
      </c>
      <c r="C13" s="261">
        <f>'Свод 2020'!S78</f>
        <v>8050</v>
      </c>
      <c r="D13" s="262"/>
    </row>
    <row r="14" spans="2:6" ht="28.5">
      <c r="B14" s="41" t="s">
        <v>151</v>
      </c>
      <c r="C14" s="274">
        <f>C11+C12-C13</f>
        <v>2100</v>
      </c>
      <c r="D14" s="275"/>
      <c r="E14" s="22">
        <f>'Свод 2020'!T78</f>
        <v>2100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2020'!W78</f>
        <v>128507.96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2020'!U78</f>
        <v>1472.27</v>
      </c>
    </row>
    <row r="22" spans="2:5" ht="15">
      <c r="B22" s="46" t="s">
        <v>134</v>
      </c>
      <c r="C22" s="47" t="s">
        <v>60</v>
      </c>
      <c r="D22" s="48">
        <f>'Свод 2020'!V78</f>
        <v>10401.369999999999</v>
      </c>
    </row>
    <row r="23" spans="2:5" ht="30">
      <c r="B23" s="46" t="s">
        <v>161</v>
      </c>
      <c r="C23" s="94" t="s">
        <v>138</v>
      </c>
      <c r="D23" s="48">
        <f>'Свод 2020'!AA78+'Свод 2020'!Z78</f>
        <v>19980.78</v>
      </c>
    </row>
    <row r="24" spans="2:5" ht="28.5" customHeight="1">
      <c r="B24" s="124" t="s">
        <v>141</v>
      </c>
      <c r="C24" s="49" t="s">
        <v>140</v>
      </c>
      <c r="D24" s="209">
        <f>'Свод 2020'!AC78</f>
        <v>2469.9499999999998</v>
      </c>
    </row>
    <row r="25" spans="2:5" ht="28.5" customHeight="1">
      <c r="B25" s="154" t="s">
        <v>142</v>
      </c>
      <c r="C25" s="98" t="s">
        <v>143</v>
      </c>
      <c r="D25" s="215">
        <f>'Свод 2020'!AB78</f>
        <v>841.3</v>
      </c>
    </row>
    <row r="26" spans="2:5" ht="21.75" customHeight="1">
      <c r="B26" s="202" t="s">
        <v>153</v>
      </c>
      <c r="C26" s="47" t="s">
        <v>59</v>
      </c>
      <c r="D26" s="203">
        <f>'Свод 2020'!AD78</f>
        <v>18508.509999999998</v>
      </c>
    </row>
    <row r="27" spans="2:5" ht="30.75" customHeight="1">
      <c r="B27" s="105" t="s">
        <v>144</v>
      </c>
      <c r="C27" s="164" t="s">
        <v>135</v>
      </c>
      <c r="D27" s="283">
        <f>'Свод 2020'!AE78</f>
        <v>68144.98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2020'!AG78</f>
        <v>30286.66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2020'!AI78</f>
        <v>113361.36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2020'!AK78</f>
        <v>19980.78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2020'!AL78</f>
        <v>17667.22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2020'!AM78</f>
        <v>30707.3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2020'!AJ78</f>
        <v>34282.81</v>
      </c>
      <c r="E42" s="22">
        <f>D43-C8-C13</f>
        <v>47359.739999999874</v>
      </c>
    </row>
    <row r="43" spans="2:5" ht="15" thickBot="1">
      <c r="B43" s="229" t="s">
        <v>253</v>
      </c>
      <c r="C43" s="230"/>
      <c r="D43" s="231">
        <f>SUM(D19:D42)</f>
        <v>496613.24999999988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</mergeCells>
  <phoneticPr fontId="0" type="noConversion"/>
  <pageMargins left="0.24" right="0.24" top="0.17" bottom="0.17" header="0.17" footer="0.17"/>
  <pageSetup paperSize="9" orientation="portrait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59">
    <tabColor theme="2" tint="-0.249977111117893"/>
  </sheetPr>
  <dimension ref="B1:F60"/>
  <sheetViews>
    <sheetView topLeftCell="A35" workbookViewId="0">
      <selection activeCell="B52" sqref="B52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378</v>
      </c>
      <c r="C3" s="264"/>
      <c r="D3" s="264"/>
    </row>
    <row r="4" spans="2:6" ht="15.75" thickBot="1">
      <c r="B4" s="57" t="s">
        <v>298</v>
      </c>
      <c r="C4" s="226">
        <f>'Свод 2020'!H79</f>
        <v>1722.5</v>
      </c>
      <c r="D4" s="217">
        <f>'Свод 2020'!J79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2020'!H79</f>
        <v>1722.5</v>
      </c>
      <c r="F5" s="22">
        <f>'Свод 2020'!J77</f>
        <v>20.88</v>
      </c>
    </row>
    <row r="6" spans="2:6" ht="30">
      <c r="B6" s="178" t="s">
        <v>321</v>
      </c>
      <c r="C6" s="272">
        <f>'Свод 2020'!K79</f>
        <v>100956.57999999996</v>
      </c>
      <c r="D6" s="273"/>
    </row>
    <row r="7" spans="2:6" ht="15">
      <c r="B7" s="40" t="s">
        <v>322</v>
      </c>
      <c r="C7" s="261">
        <f>'Свод 2020'!L79</f>
        <v>431589.24</v>
      </c>
      <c r="D7" s="262"/>
    </row>
    <row r="8" spans="2:6" ht="15">
      <c r="B8" s="40" t="s">
        <v>323</v>
      </c>
      <c r="C8" s="261">
        <f>'Свод 2020'!M79</f>
        <v>413662.93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118882.88999999996</v>
      </c>
      <c r="D10" s="275"/>
      <c r="E10" s="22">
        <f>'Свод 2020'!O79</f>
        <v>118882.88999999996</v>
      </c>
      <c r="F10" s="125"/>
    </row>
    <row r="11" spans="2:6" ht="30">
      <c r="B11" s="178" t="s">
        <v>333</v>
      </c>
      <c r="C11" s="261">
        <f>'Свод 2020'!Q79</f>
        <v>2821.1399999999994</v>
      </c>
      <c r="D11" s="262"/>
    </row>
    <row r="12" spans="2:6" ht="15">
      <c r="B12" s="40" t="s">
        <v>324</v>
      </c>
      <c r="C12" s="261">
        <f>'Свод 2020'!R79</f>
        <v>14826.82</v>
      </c>
      <c r="D12" s="262"/>
    </row>
    <row r="13" spans="2:6" ht="15">
      <c r="B13" s="40" t="s">
        <v>325</v>
      </c>
      <c r="C13" s="261">
        <f>'Свод 2020'!S79</f>
        <v>14272.11</v>
      </c>
      <c r="D13" s="262"/>
    </row>
    <row r="14" spans="2:6" ht="28.5">
      <c r="B14" s="41" t="s">
        <v>151</v>
      </c>
      <c r="C14" s="274">
        <f>C11+C12-C13</f>
        <v>3375.8499999999985</v>
      </c>
      <c r="D14" s="275"/>
      <c r="E14" s="22">
        <f>'Свод 2020'!T79</f>
        <v>3375.8499999999985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2020'!W79</f>
        <v>126293.7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2020'!U79</f>
        <v>1446.9</v>
      </c>
    </row>
    <row r="22" spans="2:5" ht="15">
      <c r="B22" s="46" t="s">
        <v>134</v>
      </c>
      <c r="C22" s="47" t="s">
        <v>60</v>
      </c>
      <c r="D22" s="48">
        <f>'Свод 2020'!V79</f>
        <v>12529.470000000001</v>
      </c>
    </row>
    <row r="23" spans="2:5" ht="30">
      <c r="B23" s="46" t="s">
        <v>161</v>
      </c>
      <c r="C23" s="94" t="s">
        <v>138</v>
      </c>
      <c r="D23" s="48">
        <f>'Свод 2020'!AA79+'Свод 2020'!Z79</f>
        <v>19636.5</v>
      </c>
    </row>
    <row r="24" spans="2:5" ht="28.5" customHeight="1">
      <c r="B24" s="124" t="s">
        <v>141</v>
      </c>
      <c r="C24" s="49" t="s">
        <v>140</v>
      </c>
      <c r="D24" s="209">
        <f>'Свод 2020'!AC79</f>
        <v>2260.92</v>
      </c>
    </row>
    <row r="25" spans="2:5" ht="28.5" customHeight="1">
      <c r="B25" s="154" t="s">
        <v>142</v>
      </c>
      <c r="C25" s="98" t="s">
        <v>143</v>
      </c>
      <c r="D25" s="215">
        <f>'Свод 2020'!AB79</f>
        <v>826.8</v>
      </c>
    </row>
    <row r="26" spans="2:5" ht="21.75" customHeight="1">
      <c r="B26" s="202" t="s">
        <v>153</v>
      </c>
      <c r="C26" s="47" t="s">
        <v>59</v>
      </c>
      <c r="D26" s="203">
        <f>'Свод 2020'!AD79</f>
        <v>18189.599999999999</v>
      </c>
    </row>
    <row r="27" spans="2:5" ht="30.75" customHeight="1">
      <c r="B27" s="105" t="s">
        <v>144</v>
      </c>
      <c r="C27" s="164" t="s">
        <v>135</v>
      </c>
      <c r="D27" s="283">
        <f>'Свод 2020'!AE79</f>
        <v>66970.8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2020'!AG79</f>
        <v>29764.799999999999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2020'!AI79</f>
        <v>191483.7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2020'!AK79</f>
        <v>19636.5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2020'!AL79</f>
        <v>17362.8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2020'!AM79</f>
        <v>30178.2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4" t="s">
        <v>163</v>
      </c>
      <c r="C42" s="151" t="s">
        <v>139</v>
      </c>
      <c r="D42" s="221">
        <f>'Свод 2020'!AJ79</f>
        <v>33692.1</v>
      </c>
      <c r="E42" s="22">
        <f>D43-C8-C13</f>
        <v>142337.74999999994</v>
      </c>
    </row>
    <row r="43" spans="2:5" ht="15" thickBot="1">
      <c r="B43" s="229" t="s">
        <v>253</v>
      </c>
      <c r="C43" s="234"/>
      <c r="D43" s="235">
        <f>SUM(D19:D42)</f>
        <v>570272.78999999992</v>
      </c>
    </row>
    <row r="44" spans="2:5" ht="15" customHeight="1">
      <c r="B44" s="232" t="s">
        <v>145</v>
      </c>
      <c r="C44" s="289" t="s">
        <v>146</v>
      </c>
      <c r="D44" s="29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honeticPr fontId="0" type="noConversion"/>
  <pageMargins left="0.24" right="0.24" top="0.17" bottom="0.24" header="0.17" footer="0.18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62">
    <tabColor theme="2" tint="-0.249977111117893"/>
  </sheetPr>
  <dimension ref="B1:F60"/>
  <sheetViews>
    <sheetView topLeftCell="A35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394</v>
      </c>
      <c r="C3" s="264"/>
      <c r="D3" s="264"/>
    </row>
    <row r="4" spans="2:6" ht="15.75" thickBot="1">
      <c r="B4" s="57" t="s">
        <v>299</v>
      </c>
      <c r="C4" s="226">
        <f>'Свод 2020'!H80</f>
        <v>1309.9000000000001</v>
      </c>
      <c r="D4" s="217">
        <f>'Свод 2020'!J80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2020'!H80</f>
        <v>1309.9000000000001</v>
      </c>
      <c r="F5" s="22">
        <f>'Свод 2020'!J77</f>
        <v>20.88</v>
      </c>
    </row>
    <row r="6" spans="2:6" ht="30">
      <c r="B6" s="178" t="s">
        <v>321</v>
      </c>
      <c r="C6" s="272">
        <f>'Свод 2020'!K80</f>
        <v>166337.95000000001</v>
      </c>
      <c r="D6" s="273"/>
    </row>
    <row r="7" spans="2:6" ht="15">
      <c r="B7" s="40" t="s">
        <v>322</v>
      </c>
      <c r="C7" s="261">
        <f>'Свод 2020'!L80</f>
        <v>311596.44</v>
      </c>
      <c r="D7" s="262"/>
    </row>
    <row r="8" spans="2:6" ht="15">
      <c r="B8" s="40" t="s">
        <v>323</v>
      </c>
      <c r="C8" s="261">
        <f>'Свод 2020'!M80</f>
        <v>283935.52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193998.87</v>
      </c>
      <c r="D10" s="275"/>
      <c r="E10" s="22">
        <f>'Свод 2020'!O80</f>
        <v>193998.87</v>
      </c>
      <c r="F10" s="125"/>
    </row>
    <row r="11" spans="2:6" ht="30">
      <c r="B11" s="178" t="s">
        <v>333</v>
      </c>
      <c r="C11" s="261">
        <f>'Свод 2020'!Q80</f>
        <v>8426.1200000000026</v>
      </c>
      <c r="D11" s="262"/>
    </row>
    <row r="12" spans="2:6" ht="15">
      <c r="B12" s="40" t="s">
        <v>324</v>
      </c>
      <c r="C12" s="261">
        <f>'Свод 2020'!R80</f>
        <v>30279.52</v>
      </c>
      <c r="D12" s="262"/>
    </row>
    <row r="13" spans="2:6" ht="15">
      <c r="B13" s="40" t="s">
        <v>325</v>
      </c>
      <c r="C13" s="261">
        <f>'Свод 2020'!S80</f>
        <v>24034.87</v>
      </c>
      <c r="D13" s="262"/>
    </row>
    <row r="14" spans="2:6" ht="28.5">
      <c r="B14" s="41" t="s">
        <v>151</v>
      </c>
      <c r="C14" s="274">
        <f>C11+C12-C13</f>
        <v>14670.77</v>
      </c>
      <c r="D14" s="275"/>
      <c r="E14" s="22">
        <f>'Свод 2020'!T80</f>
        <v>14670.77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2020'!W80</f>
        <v>96041.87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2020'!U80</f>
        <v>1100.32</v>
      </c>
    </row>
    <row r="22" spans="2:5" ht="15">
      <c r="B22" s="46" t="s">
        <v>134</v>
      </c>
      <c r="C22" s="47" t="s">
        <v>60</v>
      </c>
      <c r="D22" s="48">
        <f>'Свод 2020'!V80</f>
        <v>11085.68</v>
      </c>
    </row>
    <row r="23" spans="2:5" ht="30">
      <c r="B23" s="46" t="s">
        <v>161</v>
      </c>
      <c r="C23" s="94" t="s">
        <v>138</v>
      </c>
      <c r="D23" s="48">
        <f>'Свод 2020'!AA80+'Свод 2020'!Z80</f>
        <v>14932.87</v>
      </c>
    </row>
    <row r="24" spans="2:5" ht="28.5" customHeight="1">
      <c r="B24" s="124" t="s">
        <v>141</v>
      </c>
      <c r="C24" s="49" t="s">
        <v>140</v>
      </c>
      <c r="D24" s="209">
        <f>'Свод 2020'!AC80</f>
        <v>1804.56</v>
      </c>
    </row>
    <row r="25" spans="2:5" ht="28.5" customHeight="1">
      <c r="B25" s="154" t="s">
        <v>142</v>
      </c>
      <c r="C25" s="98" t="s">
        <v>143</v>
      </c>
      <c r="D25" s="215">
        <f>'Свод 2020'!AB80</f>
        <v>628.75</v>
      </c>
    </row>
    <row r="26" spans="2:5" ht="21.75" customHeight="1">
      <c r="B26" s="202" t="s">
        <v>153</v>
      </c>
      <c r="C26" s="47" t="s">
        <v>59</v>
      </c>
      <c r="D26" s="203">
        <f>'Свод 2020'!AD80</f>
        <v>13832.54</v>
      </c>
    </row>
    <row r="27" spans="2:5" ht="30.75" customHeight="1">
      <c r="B27" s="105" t="s">
        <v>144</v>
      </c>
      <c r="C27" s="164" t="s">
        <v>135</v>
      </c>
      <c r="D27" s="283">
        <f>'Свод 2020'!AE80</f>
        <v>50928.91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2020'!AG80</f>
        <v>22635.07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2020'!AI80</f>
        <v>200325.47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2020'!AK80</f>
        <v>14932.86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2020'!AL80</f>
        <v>13203.79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2020'!AM80</f>
        <v>22949.45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2020'!AJ80</f>
        <v>25621.64</v>
      </c>
      <c r="E42" s="22">
        <f>D43-C8-C13</f>
        <v>182053.39</v>
      </c>
    </row>
    <row r="43" spans="2:5" ht="15" thickBot="1">
      <c r="B43" s="229" t="s">
        <v>253</v>
      </c>
      <c r="C43" s="230"/>
      <c r="D43" s="231">
        <f>SUM(D19:D42)</f>
        <v>490023.78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215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17" bottom="0.18" header="0.17" footer="0.17"/>
  <pageSetup paperSize="9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sheetPr codeName="Лист65">
    <tabColor theme="2" tint="-0.249977111117893"/>
  </sheetPr>
  <dimension ref="B1:F60"/>
  <sheetViews>
    <sheetView topLeftCell="A35" workbookViewId="0"/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395</v>
      </c>
      <c r="C3" s="264"/>
      <c r="D3" s="264"/>
    </row>
    <row r="4" spans="2:6" ht="15.75" thickBot="1">
      <c r="B4" s="57" t="s">
        <v>300</v>
      </c>
      <c r="C4" s="226">
        <f>'Свод 2020'!H81</f>
        <v>1329.9</v>
      </c>
      <c r="D4" s="217">
        <f>'Свод 2020'!J81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2020'!H81</f>
        <v>1329.9</v>
      </c>
      <c r="F5" s="22">
        <f>'Свод 2020'!J77</f>
        <v>20.88</v>
      </c>
    </row>
    <row r="6" spans="2:6" ht="30">
      <c r="B6" s="178" t="s">
        <v>321</v>
      </c>
      <c r="C6" s="272">
        <f>'Свод 2020'!K81</f>
        <v>86225</v>
      </c>
      <c r="D6" s="273"/>
    </row>
    <row r="7" spans="2:6" ht="15">
      <c r="B7" s="40" t="s">
        <v>322</v>
      </c>
      <c r="C7" s="261">
        <f>'Свод 2020'!L81</f>
        <v>333219.71999999997</v>
      </c>
      <c r="D7" s="262"/>
    </row>
    <row r="8" spans="2:6" ht="15">
      <c r="B8" s="40" t="s">
        <v>323</v>
      </c>
      <c r="C8" s="261">
        <f>'Свод 2020'!M81</f>
        <v>332995.56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86449.159999999974</v>
      </c>
      <c r="D10" s="275"/>
      <c r="E10" s="22">
        <f>'Свод 2020'!O81</f>
        <v>86449.159999999974</v>
      </c>
      <c r="F10" s="125"/>
    </row>
    <row r="11" spans="2:6" ht="30">
      <c r="B11" s="178" t="s">
        <v>333</v>
      </c>
      <c r="C11" s="261">
        <f>'Свод 2020'!Q81</f>
        <v>1879.4499999999989</v>
      </c>
      <c r="D11" s="262"/>
    </row>
    <row r="12" spans="2:6" ht="15">
      <c r="B12" s="40" t="s">
        <v>324</v>
      </c>
      <c r="C12" s="261">
        <f>'Свод 2020'!R81</f>
        <v>10471.15</v>
      </c>
      <c r="D12" s="262"/>
    </row>
    <row r="13" spans="2:6" ht="15">
      <c r="B13" s="40" t="s">
        <v>325</v>
      </c>
      <c r="C13" s="261">
        <f>'Свод 2020'!S81</f>
        <v>9991.7000000000007</v>
      </c>
      <c r="D13" s="262"/>
    </row>
    <row r="14" spans="2:6" ht="28.5">
      <c r="B14" s="41" t="s">
        <v>151</v>
      </c>
      <c r="C14" s="274">
        <f>C11+C12-C13</f>
        <v>2358.8999999999978</v>
      </c>
      <c r="D14" s="275"/>
      <c r="E14" s="22">
        <f>'Свод 2020'!T81</f>
        <v>2358.8999999999978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2020'!W81</f>
        <v>97508.27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2020'!U81</f>
        <v>1117.1199999999999</v>
      </c>
    </row>
    <row r="22" spans="2:5" ht="15">
      <c r="B22" s="46" t="s">
        <v>134</v>
      </c>
      <c r="C22" s="47" t="s">
        <v>60</v>
      </c>
      <c r="D22" s="48">
        <f>'Свод 2020'!V81</f>
        <v>25871.57</v>
      </c>
    </row>
    <row r="23" spans="2:5" ht="30">
      <c r="B23" s="46" t="s">
        <v>161</v>
      </c>
      <c r="C23" s="94" t="s">
        <v>138</v>
      </c>
      <c r="D23" s="48">
        <f>'Свод 2020'!AA81+'Свод 2020'!Z81</f>
        <v>15160.87</v>
      </c>
    </row>
    <row r="24" spans="2:5" ht="28.5" customHeight="1">
      <c r="B24" s="124" t="s">
        <v>141</v>
      </c>
      <c r="C24" s="49" t="s">
        <v>140</v>
      </c>
      <c r="D24" s="209">
        <f>'Свод 2020'!AC81</f>
        <v>1172.5999999999999</v>
      </c>
    </row>
    <row r="25" spans="2:5" ht="28.5" customHeight="1">
      <c r="B25" s="154" t="s">
        <v>142</v>
      </c>
      <c r="C25" s="98" t="s">
        <v>143</v>
      </c>
      <c r="D25" s="215">
        <f>'Свод 2020'!AB81</f>
        <v>638.35</v>
      </c>
    </row>
    <row r="26" spans="2:5" ht="21.75" customHeight="1">
      <c r="B26" s="202" t="s">
        <v>153</v>
      </c>
      <c r="C26" s="47" t="s">
        <v>59</v>
      </c>
      <c r="D26" s="203">
        <f>'Свод 2020'!AD81</f>
        <v>14043.74</v>
      </c>
    </row>
    <row r="27" spans="2:5" ht="30.75" customHeight="1">
      <c r="B27" s="105" t="s">
        <v>144</v>
      </c>
      <c r="C27" s="164" t="s">
        <v>135</v>
      </c>
      <c r="D27" s="283">
        <f>'Свод 2020'!AE81</f>
        <v>51706.51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2020'!AG81</f>
        <v>22980.67</v>
      </c>
    </row>
    <row r="32" spans="2:5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2020'!AI81</f>
        <v>63853.87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2020'!AK81</f>
        <v>15160.86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2020'!AL81</f>
        <v>13405.39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2020'!AM81</f>
        <v>23299.85</v>
      </c>
    </row>
    <row r="41" spans="2:4" ht="19.5" customHeight="1">
      <c r="B41" s="167" t="s">
        <v>149</v>
      </c>
      <c r="C41" s="150"/>
      <c r="D41" s="168"/>
    </row>
    <row r="42" spans="2:4" ht="120.75" thickBot="1">
      <c r="B42" s="158" t="s">
        <v>163</v>
      </c>
      <c r="C42" s="159" t="s">
        <v>139</v>
      </c>
      <c r="D42" s="104">
        <f>'Свод 2020'!AJ81</f>
        <v>26012.84</v>
      </c>
    </row>
    <row r="43" spans="2:4" ht="15.75" thickBot="1">
      <c r="B43" s="229" t="s">
        <v>253</v>
      </c>
      <c r="C43" s="227"/>
      <c r="D43" s="228">
        <f>SUM(D19:D42)</f>
        <v>371932.51</v>
      </c>
    </row>
    <row r="44" spans="2:4" ht="15" customHeight="1">
      <c r="B44" s="169" t="s">
        <v>145</v>
      </c>
      <c r="C44" s="279" t="s">
        <v>146</v>
      </c>
      <c r="D44" s="280"/>
    </row>
    <row r="45" spans="2:4" ht="52.5" customHeight="1" thickBot="1">
      <c r="B45" s="153" t="s">
        <v>159</v>
      </c>
      <c r="C45" s="281"/>
      <c r="D45" s="282"/>
    </row>
    <row r="46" spans="2:4" ht="14.25">
      <c r="B46" s="269" t="s">
        <v>227</v>
      </c>
      <c r="C46" s="269"/>
      <c r="D46" s="269"/>
    </row>
    <row r="47" spans="2:4" ht="14.25">
      <c r="B47" s="121"/>
      <c r="C47" s="121"/>
      <c r="D47" s="121"/>
    </row>
    <row r="48" spans="2:4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C8:D8"/>
    <mergeCell ref="C9:D9"/>
    <mergeCell ref="B1:D1"/>
    <mergeCell ref="B2:D2"/>
    <mergeCell ref="B3:D3"/>
    <mergeCell ref="C5:D5"/>
    <mergeCell ref="C6:D6"/>
    <mergeCell ref="C7:D7"/>
  </mergeCells>
  <phoneticPr fontId="0" type="noConversion"/>
  <pageMargins left="0.24" right="0.24" top="0.23" bottom="0.2" header="0.18" footer="0.17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CC"/>
  </sheetPr>
  <dimension ref="B1:F60"/>
  <sheetViews>
    <sheetView workbookViewId="0">
      <selection activeCell="E19" sqref="E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343</v>
      </c>
      <c r="C3" s="264"/>
      <c r="D3" s="264"/>
    </row>
    <row r="4" spans="2:6" ht="15.75" thickBot="1">
      <c r="B4" s="57" t="s">
        <v>217</v>
      </c>
      <c r="C4" s="226">
        <f>'Свод 2020'!H10</f>
        <v>2720.1</v>
      </c>
      <c r="D4" s="217">
        <f>'Свод 2020'!J10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2020'!H10</f>
        <v>2720.1</v>
      </c>
    </row>
    <row r="6" spans="2:6" ht="30">
      <c r="B6" s="178" t="s">
        <v>321</v>
      </c>
      <c r="C6" s="272">
        <f>'Свод 2020'!K10</f>
        <v>142867.31999999995</v>
      </c>
      <c r="D6" s="273"/>
    </row>
    <row r="7" spans="2:6" ht="15">
      <c r="B7" s="40" t="s">
        <v>322</v>
      </c>
      <c r="C7" s="261">
        <f>'Свод 2020'!L10</f>
        <v>666113.88</v>
      </c>
      <c r="D7" s="262"/>
    </row>
    <row r="8" spans="2:6" ht="15">
      <c r="B8" s="40" t="s">
        <v>323</v>
      </c>
      <c r="C8" s="261">
        <f>'Свод 2020'!M10</f>
        <v>717916.87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91064.329999999958</v>
      </c>
      <c r="D10" s="275"/>
      <c r="E10" s="22">
        <f>'Свод 2020'!O10</f>
        <v>91064.329999999958</v>
      </c>
      <c r="F10" s="125"/>
    </row>
    <row r="11" spans="2:6" ht="30">
      <c r="B11" s="178" t="s">
        <v>333</v>
      </c>
      <c r="C11" s="261">
        <f>'Свод 2020'!Q10</f>
        <v>2520.5500000000029</v>
      </c>
      <c r="D11" s="262"/>
    </row>
    <row r="12" spans="2:6" ht="15">
      <c r="B12" s="40" t="s">
        <v>324</v>
      </c>
      <c r="C12" s="261">
        <f>'Свод 2020'!R10</f>
        <v>25643.73</v>
      </c>
      <c r="D12" s="262"/>
    </row>
    <row r="13" spans="2:6" ht="15">
      <c r="B13" s="40" t="s">
        <v>325</v>
      </c>
      <c r="C13" s="261">
        <f>'Свод 2020'!S10</f>
        <v>21121.429999999997</v>
      </c>
      <c r="D13" s="262"/>
    </row>
    <row r="14" spans="2:6" ht="28.5">
      <c r="B14" s="41" t="s">
        <v>151</v>
      </c>
      <c r="C14" s="274">
        <f>C11+C12-C13</f>
        <v>7042.8500000000058</v>
      </c>
      <c r="D14" s="275"/>
      <c r="E14" s="22">
        <f>'Свод 2020'!T10</f>
        <v>7042.8500000000058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2020'!W10</f>
        <v>199437.73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2020'!U10</f>
        <v>2284.88</v>
      </c>
    </row>
    <row r="22" spans="2:5" ht="15">
      <c r="B22" s="46" t="s">
        <v>134</v>
      </c>
      <c r="C22" s="47" t="s">
        <v>60</v>
      </c>
      <c r="D22" s="48">
        <f>'Свод 2020'!V10</f>
        <v>47998.69</v>
      </c>
    </row>
    <row r="23" spans="2:5" ht="30">
      <c r="B23" s="46" t="s">
        <v>161</v>
      </c>
      <c r="C23" s="94" t="s">
        <v>138</v>
      </c>
      <c r="D23" s="48">
        <f>'Свод 2020'!AA10+'Свод 2020'!Z10</f>
        <v>31009.13</v>
      </c>
    </row>
    <row r="24" spans="2:5" ht="28.5" customHeight="1">
      <c r="B24" s="124" t="s">
        <v>141</v>
      </c>
      <c r="C24" s="49" t="s">
        <v>140</v>
      </c>
      <c r="D24" s="209">
        <f>'Свод 2020'!AC10</f>
        <v>1755.6599999999999</v>
      </c>
    </row>
    <row r="25" spans="2:5" ht="28.5" customHeight="1">
      <c r="B25" s="154" t="s">
        <v>142</v>
      </c>
      <c r="C25" s="98" t="s">
        <v>143</v>
      </c>
      <c r="D25" s="209">
        <f>'Свод 2020'!AB10</f>
        <v>1305.6500000000001</v>
      </c>
    </row>
    <row r="26" spans="2:5" ht="21.75" customHeight="1">
      <c r="B26" s="202" t="s">
        <v>153</v>
      </c>
      <c r="C26" s="47" t="s">
        <v>59</v>
      </c>
      <c r="D26" s="203">
        <f>'Свод 2020'!AD10</f>
        <v>28724.26</v>
      </c>
    </row>
    <row r="27" spans="2:5" ht="30.75" customHeight="1">
      <c r="B27" s="105" t="s">
        <v>144</v>
      </c>
      <c r="C27" s="164" t="s">
        <v>135</v>
      </c>
      <c r="D27" s="283">
        <f>'Свод 2020'!AE10</f>
        <v>105757.49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2020'!AG10</f>
        <v>47003.33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2020'!AI10</f>
        <v>103164.13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2020'!AK10</f>
        <v>31009.14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2020'!AL10</f>
        <v>27418.61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2020'!AM10</f>
        <v>79860.149999999994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2020'!AJ10</f>
        <v>64975.16</v>
      </c>
      <c r="E42" s="22">
        <f>D43-C8-C13</f>
        <v>32665.710000000017</v>
      </c>
    </row>
    <row r="43" spans="2:5" ht="15" thickBot="1">
      <c r="B43" s="229" t="s">
        <v>253</v>
      </c>
      <c r="C43" s="230"/>
      <c r="D43" s="231">
        <f>SUM(D19:D42)</f>
        <v>771704.01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21" bottom="0.18" header="0.17" footer="0.17"/>
  <pageSetup paperSize="9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sheetPr codeName="Лист66">
    <tabColor theme="2" tint="-0.249977111117893"/>
  </sheetPr>
  <dimension ref="B1:F61"/>
  <sheetViews>
    <sheetView topLeftCell="A41" workbookViewId="0">
      <selection activeCell="E50" sqref="E5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347</v>
      </c>
      <c r="C3" s="264"/>
      <c r="D3" s="264"/>
    </row>
    <row r="4" spans="2:6" ht="15.75" thickBot="1">
      <c r="B4" s="57" t="s">
        <v>301</v>
      </c>
      <c r="C4" s="226">
        <f>'Свод 2020'!H82</f>
        <v>1334.6</v>
      </c>
      <c r="D4" s="217">
        <f>'Свод 2020'!J82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2020'!H82</f>
        <v>1334.6</v>
      </c>
      <c r="F5" s="22">
        <f>'Свод 2020'!J77</f>
        <v>20.88</v>
      </c>
    </row>
    <row r="6" spans="2:6" ht="30">
      <c r="B6" s="178" t="s">
        <v>321</v>
      </c>
      <c r="C6" s="272">
        <f>'Свод 2020'!K82</f>
        <v>214627.24000000005</v>
      </c>
      <c r="D6" s="273"/>
    </row>
    <row r="7" spans="2:6" ht="15">
      <c r="B7" s="40" t="s">
        <v>322</v>
      </c>
      <c r="C7" s="261">
        <f>'Свод 2020'!L82</f>
        <v>334397.28000000003</v>
      </c>
      <c r="D7" s="262"/>
    </row>
    <row r="8" spans="2:6" ht="15">
      <c r="B8" s="40" t="s">
        <v>323</v>
      </c>
      <c r="C8" s="261">
        <f>'Свод 2020'!M82</f>
        <v>353007.48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196017.04000000004</v>
      </c>
      <c r="D10" s="275"/>
      <c r="E10" s="22">
        <f>'Свод 2020'!O82</f>
        <v>196017.04000000004</v>
      </c>
      <c r="F10" s="125"/>
    </row>
    <row r="11" spans="2:6" ht="30">
      <c r="B11" s="178" t="s">
        <v>333</v>
      </c>
      <c r="C11" s="261">
        <f>'Свод 2020'!Q82</f>
        <v>1879.9099999999999</v>
      </c>
      <c r="D11" s="262"/>
    </row>
    <row r="12" spans="2:6" ht="15">
      <c r="B12" s="40" t="s">
        <v>324</v>
      </c>
      <c r="C12" s="261">
        <f>'Свод 2020'!R82</f>
        <v>10478.469999999999</v>
      </c>
      <c r="D12" s="262"/>
    </row>
    <row r="13" spans="2:6" ht="15">
      <c r="B13" s="40" t="s">
        <v>325</v>
      </c>
      <c r="C13" s="261">
        <f>'Свод 2020'!S82</f>
        <v>9998.56</v>
      </c>
      <c r="D13" s="262"/>
    </row>
    <row r="14" spans="2:6" ht="28.5">
      <c r="B14" s="41" t="s">
        <v>151</v>
      </c>
      <c r="C14" s="274">
        <f>C11+C12-C13</f>
        <v>2359.8199999999997</v>
      </c>
      <c r="D14" s="275"/>
      <c r="E14" s="22">
        <f>'Свод 2020'!T82</f>
        <v>2359.8199999999997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2020'!W82</f>
        <v>97852.87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2020'!U82</f>
        <v>1121.06</v>
      </c>
    </row>
    <row r="22" spans="2:5" ht="15">
      <c r="B22" s="46" t="s">
        <v>134</v>
      </c>
      <c r="C22" s="47" t="s">
        <v>60</v>
      </c>
      <c r="D22" s="48">
        <f>'Свод 2020'!V82</f>
        <v>4203.7</v>
      </c>
    </row>
    <row r="23" spans="2:5" ht="30">
      <c r="B23" s="46" t="s">
        <v>161</v>
      </c>
      <c r="C23" s="94" t="s">
        <v>138</v>
      </c>
      <c r="D23" s="48">
        <f>'Свод 2020'!AA82+'Свод 2020'!Z82</f>
        <v>15214.43</v>
      </c>
    </row>
    <row r="24" spans="2:5" ht="28.5" customHeight="1">
      <c r="B24" s="124" t="s">
        <v>141</v>
      </c>
      <c r="C24" s="49" t="s">
        <v>140</v>
      </c>
      <c r="D24" s="209">
        <f>'Свод 2020'!AC82</f>
        <v>1176.06</v>
      </c>
    </row>
    <row r="25" spans="2:5" ht="28.5" customHeight="1">
      <c r="B25" s="154" t="s">
        <v>142</v>
      </c>
      <c r="C25" s="98" t="s">
        <v>143</v>
      </c>
      <c r="D25" s="215">
        <f>'Свод 2020'!AB82</f>
        <v>640.61</v>
      </c>
    </row>
    <row r="26" spans="2:5" ht="21.75" customHeight="1">
      <c r="B26" s="202" t="s">
        <v>153</v>
      </c>
      <c r="C26" s="47" t="s">
        <v>59</v>
      </c>
      <c r="D26" s="203">
        <f>'Свод 2020'!AD82</f>
        <v>14093.38</v>
      </c>
    </row>
    <row r="27" spans="2:5" ht="30.75" customHeight="1">
      <c r="B27" s="105" t="s">
        <v>144</v>
      </c>
      <c r="C27" s="164" t="s">
        <v>135</v>
      </c>
      <c r="D27" s="283">
        <f>'Свод 2020'!AE82</f>
        <v>51889.25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2020'!AG82</f>
        <v>23061.89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2020'!AI82</f>
        <v>49807.27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2020'!AK82</f>
        <v>15214.44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2020'!AL82</f>
        <v>13452.77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2020'!AM82</f>
        <v>41242.19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2020'!AJ82</f>
        <v>40118.78</v>
      </c>
      <c r="E42" s="22">
        <f>D44-C8-C13</f>
        <v>6082.6599999999726</v>
      </c>
    </row>
    <row r="43" spans="2:5" ht="15.75" thickBot="1">
      <c r="B43" s="252" t="s">
        <v>309</v>
      </c>
      <c r="C43" s="250"/>
      <c r="D43" s="251"/>
      <c r="E43" s="22"/>
    </row>
    <row r="44" spans="2:5" ht="15" thickBot="1">
      <c r="B44" s="229" t="s">
        <v>253</v>
      </c>
      <c r="C44" s="230"/>
      <c r="D44" s="231">
        <f>SUM(D19:D43)</f>
        <v>369088.69999999995</v>
      </c>
    </row>
    <row r="45" spans="2:5" ht="15" customHeight="1">
      <c r="B45" s="169" t="s">
        <v>145</v>
      </c>
      <c r="C45" s="279" t="s">
        <v>146</v>
      </c>
      <c r="D45" s="280"/>
    </row>
    <row r="46" spans="2:5" ht="52.5" customHeight="1" thickBot="1">
      <c r="B46" s="153" t="s">
        <v>159</v>
      </c>
      <c r="C46" s="281"/>
      <c r="D46" s="282"/>
    </row>
    <row r="47" spans="2:5" ht="14.25">
      <c r="B47" s="269" t="s">
        <v>227</v>
      </c>
      <c r="C47" s="269"/>
      <c r="D47" s="269"/>
    </row>
    <row r="48" spans="2:5" ht="14.25">
      <c r="B48" s="121"/>
      <c r="C48" s="121"/>
      <c r="D48" s="121"/>
    </row>
    <row r="49" spans="2:4">
      <c r="B49" s="19"/>
      <c r="C49" s="19"/>
      <c r="D49" s="18"/>
    </row>
    <row r="50" spans="2:4" ht="20.25">
      <c r="B50" s="263" t="s">
        <v>87</v>
      </c>
      <c r="C50" s="263"/>
      <c r="D50" s="263"/>
    </row>
    <row r="51" spans="2:4" ht="20.25">
      <c r="B51" s="263" t="s">
        <v>50</v>
      </c>
      <c r="C51" s="263"/>
      <c r="D51" s="263"/>
    </row>
    <row r="52" spans="2:4" ht="20.25">
      <c r="B52" s="263" t="s">
        <v>49</v>
      </c>
      <c r="C52" s="263"/>
      <c r="D52" s="263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 ht="15.75">
      <c r="B55" s="102" t="s">
        <v>64</v>
      </c>
      <c r="C55" s="102"/>
    </row>
    <row r="61" spans="2:4" ht="20.25">
      <c r="B61" s="103"/>
    </row>
  </sheetData>
  <mergeCells count="24">
    <mergeCell ref="D27:D30"/>
    <mergeCell ref="C45:D46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2:D52"/>
    <mergeCell ref="B1:D1"/>
    <mergeCell ref="B2:D2"/>
    <mergeCell ref="B3:D3"/>
    <mergeCell ref="B47:D47"/>
    <mergeCell ref="B50:D50"/>
    <mergeCell ref="B51:D51"/>
    <mergeCell ref="C5:D5"/>
    <mergeCell ref="C6:D6"/>
    <mergeCell ref="C7:D7"/>
  </mergeCells>
  <phoneticPr fontId="0" type="noConversion"/>
  <pageMargins left="0.24" right="0.24" top="0.17" bottom="0.2" header="0.17" footer="0.17"/>
  <pageSetup paperSize="9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sheetPr codeName="Лист60">
    <tabColor theme="2" tint="-0.249977111117893"/>
  </sheetPr>
  <dimension ref="B1:F60"/>
  <sheetViews>
    <sheetView topLeftCell="A32" workbookViewId="0">
      <selection activeCell="C19" sqref="C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396</v>
      </c>
      <c r="C3" s="264"/>
      <c r="D3" s="264"/>
    </row>
    <row r="4" spans="2:6" ht="15.75" thickBot="1">
      <c r="B4" s="57" t="s">
        <v>302</v>
      </c>
      <c r="C4" s="226">
        <f>'Свод 2020'!H83</f>
        <v>891.2</v>
      </c>
      <c r="D4" s="217">
        <f>'Свод 2020'!J83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2020'!H83</f>
        <v>891.2</v>
      </c>
      <c r="F5" s="22">
        <f>'Свод 2020'!J77</f>
        <v>20.88</v>
      </c>
    </row>
    <row r="6" spans="2:6" ht="30">
      <c r="B6" s="178" t="s">
        <v>321</v>
      </c>
      <c r="C6" s="272">
        <f>'Свод 2020'!K83</f>
        <v>43557.850000000035</v>
      </c>
      <c r="D6" s="273"/>
    </row>
    <row r="7" spans="2:6" ht="15">
      <c r="B7" s="40" t="s">
        <v>322</v>
      </c>
      <c r="C7" s="261">
        <f>'Свод 2020'!L83</f>
        <v>223299</v>
      </c>
      <c r="D7" s="262"/>
    </row>
    <row r="8" spans="2:6" ht="15">
      <c r="B8" s="40" t="s">
        <v>323</v>
      </c>
      <c r="C8" s="261">
        <f>'Свод 2020'!M83</f>
        <v>210932.88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55923.97000000003</v>
      </c>
      <c r="D10" s="275"/>
      <c r="E10" s="22">
        <f>'Свод 2020'!O83</f>
        <v>55923.97000000003</v>
      </c>
      <c r="F10" s="125"/>
    </row>
    <row r="11" spans="2:6" ht="30">
      <c r="B11" s="178" t="s">
        <v>333</v>
      </c>
      <c r="C11" s="261">
        <f>'Свод 2020'!Q83</f>
        <v>2304.2000000000007</v>
      </c>
      <c r="D11" s="262"/>
    </row>
    <row r="12" spans="2:6" ht="15">
      <c r="B12" s="40" t="s">
        <v>324</v>
      </c>
      <c r="C12" s="261">
        <f>'Свод 2020'!R83</f>
        <v>11725.16</v>
      </c>
      <c r="D12" s="262"/>
    </row>
    <row r="13" spans="2:6" ht="15">
      <c r="B13" s="40" t="s">
        <v>325</v>
      </c>
      <c r="C13" s="261">
        <f>'Свод 2020'!S83</f>
        <v>11269.24</v>
      </c>
      <c r="D13" s="262"/>
    </row>
    <row r="14" spans="2:6" ht="28.5">
      <c r="B14" s="41" t="s">
        <v>151</v>
      </c>
      <c r="C14" s="274">
        <f>C11+C12-C13</f>
        <v>2760.1200000000008</v>
      </c>
      <c r="D14" s="275"/>
      <c r="E14" s="22">
        <f>'Свод 2020'!T83</f>
        <v>2760.1200000000008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2020'!W83</f>
        <v>65342.78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2020'!U83</f>
        <v>748.61</v>
      </c>
    </row>
    <row r="22" spans="2:5" ht="15">
      <c r="B22" s="46" t="s">
        <v>134</v>
      </c>
      <c r="C22" s="47" t="s">
        <v>60</v>
      </c>
      <c r="D22" s="48">
        <f>'Свод 2020'!V83</f>
        <v>10959.01</v>
      </c>
    </row>
    <row r="23" spans="2:5" ht="30">
      <c r="B23" s="46" t="s">
        <v>161</v>
      </c>
      <c r="C23" s="94" t="s">
        <v>138</v>
      </c>
      <c r="D23" s="48">
        <f>'Свод 2020'!AA83+'Свод 2020'!Z83</f>
        <v>10159.68</v>
      </c>
    </row>
    <row r="24" spans="2:5" ht="28.5" customHeight="1">
      <c r="B24" s="124" t="s">
        <v>141</v>
      </c>
      <c r="C24" s="49" t="s">
        <v>140</v>
      </c>
      <c r="D24" s="245">
        <f>'Свод 2020'!AC83</f>
        <v>636.58999999999992</v>
      </c>
    </row>
    <row r="25" spans="2:5" ht="28.5" customHeight="1">
      <c r="B25" s="154" t="s">
        <v>142</v>
      </c>
      <c r="C25" s="98" t="s">
        <v>143</v>
      </c>
      <c r="D25" s="246">
        <f>'Свод 2020'!AB83</f>
        <v>427.78</v>
      </c>
    </row>
    <row r="26" spans="2:5" ht="21.75" customHeight="1">
      <c r="B26" s="202" t="s">
        <v>153</v>
      </c>
      <c r="C26" s="47" t="s">
        <v>59</v>
      </c>
      <c r="D26" s="203">
        <f>'Свод 2020'!AD83</f>
        <v>9411.07</v>
      </c>
    </row>
    <row r="27" spans="2:5" ht="30.75" customHeight="1">
      <c r="B27" s="105" t="s">
        <v>144</v>
      </c>
      <c r="C27" s="164" t="s">
        <v>135</v>
      </c>
      <c r="D27" s="283">
        <f>'Свод 2020'!AE83</f>
        <v>34649.86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2020'!AG83</f>
        <v>15399.94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2020'!AI83</f>
        <v>48734.18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2020'!AK83</f>
        <v>10159.68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2020'!AL83</f>
        <v>8983.2999999999993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2020'!AM83</f>
        <v>15613.82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2020'!AJ83</f>
        <v>17431.87</v>
      </c>
      <c r="E42" s="22">
        <f>D43-C8-C13</f>
        <v>26456.049999999981</v>
      </c>
    </row>
    <row r="43" spans="2:5" ht="15" thickBot="1">
      <c r="B43" s="229" t="s">
        <v>253</v>
      </c>
      <c r="C43" s="230"/>
      <c r="D43" s="231">
        <f>SUM(D19:D42)</f>
        <v>248658.16999999998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D27:D30"/>
    <mergeCell ref="C44:D45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</mergeCells>
  <phoneticPr fontId="0" type="noConversion"/>
  <pageMargins left="0.24" right="0.24" top="0.17" bottom="0.23" header="0.17" footer="0.18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sheetPr codeName="Лист63">
    <tabColor theme="2" tint="-0.249977111117893"/>
  </sheetPr>
  <dimension ref="B1:F60"/>
  <sheetViews>
    <sheetView topLeftCell="A31" workbookViewId="0">
      <selection activeCell="E43" sqref="E43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304</v>
      </c>
      <c r="C3" s="264"/>
      <c r="D3" s="264"/>
    </row>
    <row r="4" spans="2:6" ht="15.75" thickBot="1">
      <c r="B4" s="57" t="s">
        <v>303</v>
      </c>
      <c r="C4" s="226" t="e">
        <f>'Свод 2020'!#REF!</f>
        <v>#REF!</v>
      </c>
      <c r="D4" s="217" t="e">
        <f>'Свод 2020'!#REF!</f>
        <v>#REF!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 t="e">
        <f>'Свод 2020'!#REF!</f>
        <v>#REF!</v>
      </c>
      <c r="F5" s="22">
        <f>'Свод 2020'!J77</f>
        <v>20.88</v>
      </c>
    </row>
    <row r="6" spans="2:6" ht="30">
      <c r="B6" s="178" t="s">
        <v>201</v>
      </c>
      <c r="C6" s="272" t="e">
        <f>'Свод 2020'!#REF!</f>
        <v>#REF!</v>
      </c>
      <c r="D6" s="273"/>
    </row>
    <row r="7" spans="2:6" ht="15">
      <c r="B7" s="40" t="s">
        <v>202</v>
      </c>
      <c r="C7" s="261" t="e">
        <f>'Свод 2020'!#REF!</f>
        <v>#REF!</v>
      </c>
      <c r="D7" s="262"/>
    </row>
    <row r="8" spans="2:6" ht="15">
      <c r="B8" s="40" t="s">
        <v>203</v>
      </c>
      <c r="C8" s="261" t="e">
        <f>'Свод 2020'!#REF!</f>
        <v>#REF!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 t="e">
        <f>C6+C7-C8+C9</f>
        <v>#REF!</v>
      </c>
      <c r="D10" s="275"/>
      <c r="E10" s="22" t="e">
        <f>'Свод 2020'!#REF!</f>
        <v>#REF!</v>
      </c>
      <c r="F10" s="125"/>
    </row>
    <row r="11" spans="2:6" ht="30">
      <c r="B11" s="178" t="s">
        <v>204</v>
      </c>
      <c r="C11" s="261" t="e">
        <f>'Свод 2020'!#REF!</f>
        <v>#REF!</v>
      </c>
      <c r="D11" s="262"/>
    </row>
    <row r="12" spans="2:6" ht="15">
      <c r="B12" s="40" t="s">
        <v>205</v>
      </c>
      <c r="C12" s="261" t="e">
        <f>'Свод 2020'!#REF!</f>
        <v>#REF!</v>
      </c>
      <c r="D12" s="262"/>
    </row>
    <row r="13" spans="2:6" ht="15">
      <c r="B13" s="40" t="s">
        <v>206</v>
      </c>
      <c r="C13" s="261" t="e">
        <f>'Свод 2020'!#REF!</f>
        <v>#REF!</v>
      </c>
      <c r="D13" s="262"/>
    </row>
    <row r="14" spans="2:6" ht="28.5">
      <c r="B14" s="41" t="s">
        <v>151</v>
      </c>
      <c r="C14" s="274" t="e">
        <f>C11+C12-C13</f>
        <v>#REF!</v>
      </c>
      <c r="D14" s="275"/>
      <c r="E14" s="22" t="e">
        <f>'Свод 2020'!#REF!</f>
        <v>#REF!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229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 t="e">
        <f>'Свод 2020'!#REF!</f>
        <v>#REF!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 t="e">
        <f>'Свод 2020'!#REF!</f>
        <v>#REF!</v>
      </c>
    </row>
    <row r="22" spans="2:5" ht="15">
      <c r="B22" s="46" t="s">
        <v>134</v>
      </c>
      <c r="C22" s="47" t="s">
        <v>60</v>
      </c>
      <c r="D22" s="48" t="e">
        <f>'Свод 2020'!#REF!</f>
        <v>#REF!</v>
      </c>
    </row>
    <row r="23" spans="2:5" ht="30">
      <c r="B23" s="46" t="s">
        <v>161</v>
      </c>
      <c r="C23" s="94" t="s">
        <v>138</v>
      </c>
      <c r="D23" s="48" t="e">
        <f>'Свод 2020'!#REF!+'Свод 2020'!#REF!</f>
        <v>#REF!</v>
      </c>
    </row>
    <row r="24" spans="2:5" ht="28.5" customHeight="1">
      <c r="B24" s="124" t="s">
        <v>141</v>
      </c>
      <c r="C24" s="49" t="s">
        <v>140</v>
      </c>
      <c r="D24" s="209" t="e">
        <f>'Свод 2020'!#REF!</f>
        <v>#REF!</v>
      </c>
    </row>
    <row r="25" spans="2:5" ht="28.5" customHeight="1">
      <c r="B25" s="154" t="s">
        <v>142</v>
      </c>
      <c r="C25" s="98" t="s">
        <v>143</v>
      </c>
      <c r="D25" s="215" t="e">
        <f>'Свод 2020'!#REF!</f>
        <v>#REF!</v>
      </c>
    </row>
    <row r="26" spans="2:5" ht="21.75" customHeight="1">
      <c r="B26" s="202" t="s">
        <v>153</v>
      </c>
      <c r="C26" s="47" t="s">
        <v>59</v>
      </c>
      <c r="D26" s="203" t="e">
        <f>'Свод 2020'!#REF!</f>
        <v>#REF!</v>
      </c>
    </row>
    <row r="27" spans="2:5" ht="30.75" customHeight="1">
      <c r="B27" s="105" t="s">
        <v>144</v>
      </c>
      <c r="C27" s="164" t="s">
        <v>135</v>
      </c>
      <c r="D27" s="283" t="e">
        <f>'Свод 2020'!#REF!</f>
        <v>#REF!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 t="e">
        <f>'Свод 2020'!#REF!</f>
        <v>#REF!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 t="e">
        <f>'Свод 2020'!#REF!</f>
        <v>#REF!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 t="e">
        <f>'Свод 2020'!#REF!</f>
        <v>#REF!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 t="e">
        <f>'Свод 2020'!#REF!</f>
        <v>#REF!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 t="e">
        <f>'Свод 2020'!#REF!</f>
        <v>#REF!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 t="e">
        <f>'Свод 2020'!#REF!</f>
        <v>#REF!</v>
      </c>
      <c r="E42" s="22" t="e">
        <f>D43-C8-C13</f>
        <v>#REF!</v>
      </c>
    </row>
    <row r="43" spans="2:5" ht="15" thickBot="1">
      <c r="B43" s="229" t="s">
        <v>253</v>
      </c>
      <c r="C43" s="230"/>
      <c r="D43" s="231" t="e">
        <f>SUM(D19:D42)</f>
        <v>#REF!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D27:D30"/>
    <mergeCell ref="C44:D45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</mergeCells>
  <phoneticPr fontId="0" type="noConversion"/>
  <pageMargins left="0.24" right="0.24" top="0.17" bottom="0.17" header="0.17" footer="0.17"/>
  <pageSetup paperSize="9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 codeName="Лист64">
    <tabColor theme="2" tint="-0.249977111117893"/>
  </sheetPr>
  <dimension ref="B1:F60"/>
  <sheetViews>
    <sheetView topLeftCell="A35" workbookViewId="0">
      <selection activeCell="D19" sqref="D19:D20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348</v>
      </c>
      <c r="C3" s="264"/>
      <c r="D3" s="264"/>
    </row>
    <row r="4" spans="2:6" ht="15.75" thickBot="1">
      <c r="B4" s="57" t="s">
        <v>305</v>
      </c>
      <c r="C4" s="226">
        <f>'Свод 2020'!H84</f>
        <v>614.29999999999995</v>
      </c>
      <c r="D4" s="217">
        <f>'Свод 2020'!J84</f>
        <v>17.64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2020'!H84</f>
        <v>614.29999999999995</v>
      </c>
      <c r="F5" s="22">
        <f>'Свод 2020'!J84</f>
        <v>17.64</v>
      </c>
    </row>
    <row r="6" spans="2:6" ht="30">
      <c r="B6" s="178" t="s">
        <v>321</v>
      </c>
      <c r="C6" s="272">
        <f>'Свод 2020'!K84</f>
        <v>126577.33000000002</v>
      </c>
      <c r="D6" s="273"/>
    </row>
    <row r="7" spans="2:6" ht="15">
      <c r="B7" s="40" t="s">
        <v>322</v>
      </c>
      <c r="C7" s="261">
        <f>'Свод 2020'!L84</f>
        <v>130035.12</v>
      </c>
      <c r="D7" s="262"/>
    </row>
    <row r="8" spans="2:6" ht="15">
      <c r="B8" s="40" t="s">
        <v>323</v>
      </c>
      <c r="C8" s="261">
        <f>'Свод 2020'!M84</f>
        <v>113129.08</v>
      </c>
      <c r="D8" s="262"/>
    </row>
    <row r="9" spans="2:6" ht="15">
      <c r="B9" s="40" t="s">
        <v>127</v>
      </c>
      <c r="C9" s="261">
        <f>'Свод 2020'!N77</f>
        <v>0</v>
      </c>
      <c r="D9" s="262"/>
    </row>
    <row r="10" spans="2:6" ht="28.5">
      <c r="B10" s="41" t="s">
        <v>147</v>
      </c>
      <c r="C10" s="274">
        <f>C6+C7-C8+C9</f>
        <v>143483.37</v>
      </c>
      <c r="D10" s="275"/>
      <c r="E10" s="22">
        <f>'Свод 2020'!O84</f>
        <v>143483.37</v>
      </c>
      <c r="F10" s="125"/>
    </row>
    <row r="11" spans="2:6" ht="30">
      <c r="B11" s="178" t="s">
        <v>333</v>
      </c>
      <c r="C11" s="261">
        <f>'Свод 2020'!Q84</f>
        <v>1750</v>
      </c>
      <c r="D11" s="262"/>
    </row>
    <row r="12" spans="2:6" ht="15">
      <c r="B12" s="40" t="s">
        <v>324</v>
      </c>
      <c r="C12" s="261">
        <f>'Свод 2020'!R84</f>
        <v>8400</v>
      </c>
      <c r="D12" s="262"/>
    </row>
    <row r="13" spans="2:6" ht="15">
      <c r="B13" s="40" t="s">
        <v>325</v>
      </c>
      <c r="C13" s="261">
        <f>'Свод 2020'!S84</f>
        <v>8050</v>
      </c>
      <c r="D13" s="262"/>
    </row>
    <row r="14" spans="2:6" ht="28.5">
      <c r="B14" s="41" t="s">
        <v>151</v>
      </c>
      <c r="C14" s="274">
        <f>C11+C12-C13</f>
        <v>2100</v>
      </c>
      <c r="D14" s="275"/>
      <c r="E14" s="22">
        <f>'Свод 2020'!T84</f>
        <v>2100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334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2020'!W84</f>
        <v>45040.480000000003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2020'!U84</f>
        <v>516.01</v>
      </c>
    </row>
    <row r="22" spans="2:5" ht="15">
      <c r="B22" s="46" t="s">
        <v>134</v>
      </c>
      <c r="C22" s="47" t="s">
        <v>60</v>
      </c>
      <c r="D22" s="48">
        <f>'Свод 2020'!V84</f>
        <v>26415.29</v>
      </c>
    </row>
    <row r="23" spans="2:5" ht="30">
      <c r="B23" s="46" t="s">
        <v>161</v>
      </c>
      <c r="C23" s="94" t="s">
        <v>138</v>
      </c>
      <c r="D23" s="48">
        <f>'Свод 2020'!AA84+'Свод 2020'!Z84</f>
        <v>7003.02</v>
      </c>
    </row>
    <row r="24" spans="2:5" ht="28.5" customHeight="1">
      <c r="B24" s="124" t="s">
        <v>141</v>
      </c>
      <c r="C24" s="49" t="s">
        <v>140</v>
      </c>
      <c r="D24" s="209">
        <f>'Свод 2020'!AC84</f>
        <v>1663.25</v>
      </c>
    </row>
    <row r="25" spans="2:5" ht="28.5" customHeight="1">
      <c r="B25" s="154" t="s">
        <v>142</v>
      </c>
      <c r="C25" s="98" t="s">
        <v>143</v>
      </c>
      <c r="D25" s="215">
        <f>'Свод 2020'!AB84</f>
        <v>294.86</v>
      </c>
    </row>
    <row r="26" spans="2:5" ht="21.75" customHeight="1">
      <c r="B26" s="202" t="s">
        <v>153</v>
      </c>
      <c r="C26" s="47" t="s">
        <v>59</v>
      </c>
      <c r="D26" s="203">
        <f>'Свод 2020'!AD84</f>
        <v>6487.01</v>
      </c>
    </row>
    <row r="27" spans="2:5" ht="30.75" customHeight="1">
      <c r="B27" s="105" t="s">
        <v>144</v>
      </c>
      <c r="C27" s="164" t="s">
        <v>135</v>
      </c>
      <c r="D27" s="283">
        <f>'Свод 2020'!AE84</f>
        <v>0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2020'!AG84</f>
        <v>10615.1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2020'!AI84</f>
        <v>22925.68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2020'!AK84</f>
        <v>7003.02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2020'!AL84</f>
        <v>6192.14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2020'!AM84</f>
        <v>10762.54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2020'!AJ84</f>
        <v>12015.71</v>
      </c>
      <c r="E42" s="22">
        <f>D43-C8-C13</f>
        <v>35755.030000000013</v>
      </c>
    </row>
    <row r="43" spans="2:5" ht="15.75" thickBot="1">
      <c r="B43" s="229" t="s">
        <v>253</v>
      </c>
      <c r="C43" s="227"/>
      <c r="D43" s="228">
        <f>SUM(D19:D42)</f>
        <v>156934.11000000002</v>
      </c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</mergeCells>
  <phoneticPr fontId="0" type="noConversion"/>
  <pageMargins left="0.23622047244094491" right="0.23622047244094491" top="0.55118110236220474" bottom="0.62992125984251968" header="0.15748031496062992" footer="0.15748031496062992"/>
  <pageSetup paperSize="9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 codeName="Лист110"/>
  <dimension ref="A2:G39"/>
  <sheetViews>
    <sheetView topLeftCell="A7" workbookViewId="0">
      <selection activeCell="E25" sqref="E25"/>
    </sheetView>
  </sheetViews>
  <sheetFormatPr defaultRowHeight="12.75"/>
  <cols>
    <col min="1" max="1" width="55.85546875" customWidth="1"/>
    <col min="2" max="2" width="17.28515625" customWidth="1"/>
    <col min="3" max="3" width="17.140625" customWidth="1"/>
    <col min="4" max="4" width="12.7109375" bestFit="1" customWidth="1"/>
    <col min="5" max="5" width="56" customWidth="1"/>
    <col min="6" max="6" width="16" customWidth="1"/>
    <col min="7" max="7" width="16.5703125" customWidth="1"/>
  </cols>
  <sheetData>
    <row r="2" spans="1:7">
      <c r="A2" s="297" t="s">
        <v>95</v>
      </c>
      <c r="B2" s="297"/>
      <c r="C2" s="297"/>
      <c r="E2" s="298" t="s">
        <v>101</v>
      </c>
      <c r="F2" s="298"/>
      <c r="G2" s="298"/>
    </row>
    <row r="3" spans="1:7" ht="13.5" thickBot="1"/>
    <row r="4" spans="1:7" ht="30.75" thickBot="1">
      <c r="A4" s="36" t="s">
        <v>54</v>
      </c>
      <c r="B4" s="117" t="s">
        <v>55</v>
      </c>
      <c r="C4" s="118" t="s">
        <v>71</v>
      </c>
      <c r="E4" s="36" t="s">
        <v>54</v>
      </c>
      <c r="F4" s="117" t="s">
        <v>55</v>
      </c>
      <c r="G4" s="118" t="s">
        <v>71</v>
      </c>
    </row>
    <row r="5" spans="1:7" ht="15">
      <c r="A5" s="39" t="s">
        <v>99</v>
      </c>
      <c r="B5" s="92" t="e">
        <f>'Свод 2020'!#REF!-'Свод 2020'!#REF!-'Свод 2020'!#REF!-'Свод 2020'!#REF!-'Свод 2020'!#REF!-'Свод 2020'!#REF!</f>
        <v>#REF!</v>
      </c>
      <c r="C5" s="92"/>
      <c r="D5" s="22"/>
      <c r="E5" s="39" t="s">
        <v>99</v>
      </c>
      <c r="F5" s="92" t="e">
        <f>B5+B26</f>
        <v>#REF!</v>
      </c>
      <c r="G5" s="92"/>
    </row>
    <row r="6" spans="1:7" ht="15">
      <c r="A6" s="39" t="s">
        <v>91</v>
      </c>
      <c r="B6" s="92"/>
      <c r="C6" s="92" t="e">
        <f>'Свод 2020'!#REF!-'Свод 2020'!#REF!-'Свод 2020'!#REF!-'Свод 2020'!#REF!-'Свод 2020'!#REF!-'Свод 2020'!#REF!</f>
        <v>#REF!</v>
      </c>
      <c r="E6" s="39" t="s">
        <v>91</v>
      </c>
      <c r="F6" s="92"/>
      <c r="G6" s="92" t="e">
        <f>C6+C27</f>
        <v>#REF!</v>
      </c>
    </row>
    <row r="7" spans="1:7" ht="15">
      <c r="A7" s="40" t="s">
        <v>96</v>
      </c>
      <c r="B7" s="92" t="e">
        <f>'Свод 2020'!L86-'Свод 2020'!L52-'Свод 2020'!L53-'Свод 2020'!L34-'Свод 2020'!L17-'Свод 2020'!#REF!</f>
        <v>#REF!</v>
      </c>
      <c r="C7" s="92" t="e">
        <f>'Свод 2020'!#REF!-'Свод 2020'!#REF!-'Свод 2020'!#REF!-'Свод 2020'!#REF!-'Свод 2020'!#REF!-'Свод 2020'!#REF!</f>
        <v>#REF!</v>
      </c>
      <c r="E7" s="40" t="s">
        <v>96</v>
      </c>
      <c r="F7" s="92" t="e">
        <f>B7+B28</f>
        <v>#REF!</v>
      </c>
      <c r="G7" s="92" t="e">
        <f>C7+C28</f>
        <v>#REF!</v>
      </c>
    </row>
    <row r="8" spans="1:7" ht="15">
      <c r="A8" s="40" t="s">
        <v>3</v>
      </c>
      <c r="B8" s="92" t="e">
        <f>'Свод 2020'!M86-'Свод 2020'!M53-'Свод 2020'!M52-'Свод 2020'!M34-'Свод 2020'!M17-'Свод 2020'!#REF!</f>
        <v>#REF!</v>
      </c>
      <c r="C8" s="92" t="e">
        <f>'Свод 2020'!#REF!-'Свод 2020'!#REF!-'Свод 2020'!#REF!-'Свод 2020'!#REF!-'Свод 2020'!#REF!-'Свод 2020'!#REF!</f>
        <v>#REF!</v>
      </c>
      <c r="E8" s="40" t="s">
        <v>3</v>
      </c>
      <c r="F8" s="92" t="e">
        <f>B8+B29</f>
        <v>#REF!</v>
      </c>
      <c r="G8" s="92" t="e">
        <f>C8+C29</f>
        <v>#REF!</v>
      </c>
    </row>
    <row r="9" spans="1:7" ht="15">
      <c r="A9" s="40" t="s">
        <v>86</v>
      </c>
      <c r="B9" s="92" t="e">
        <f>'Свод 2020'!N86-'Свод 2020'!N53-'Свод 2020'!N52-'Свод 2020'!N34-'Свод 2020'!N17-'Свод 2020'!#REF!</f>
        <v>#REF!</v>
      </c>
      <c r="C9" s="92" t="e">
        <f>'Свод 2020'!#REF!-'Свод 2020'!#REF!-'Свод 2020'!#REF!-'Свод 2020'!#REF!-'Свод 2020'!#REF!-'Свод 2020'!#REF!</f>
        <v>#REF!</v>
      </c>
      <c r="E9" s="40" t="s">
        <v>86</v>
      </c>
      <c r="F9" s="92" t="e">
        <f>B9+B30</f>
        <v>#REF!</v>
      </c>
      <c r="G9" s="92" t="e">
        <f>C9+C30</f>
        <v>#REF!</v>
      </c>
    </row>
    <row r="10" spans="1:7" ht="15">
      <c r="A10" s="40" t="s">
        <v>62</v>
      </c>
      <c r="B10" s="92"/>
      <c r="C10" s="61" t="e">
        <f>C6+C8</f>
        <v>#REF!</v>
      </c>
      <c r="E10" s="40" t="s">
        <v>62</v>
      </c>
      <c r="F10" s="92"/>
      <c r="G10" s="61" t="e">
        <f>C31+C10</f>
        <v>#REF!</v>
      </c>
    </row>
    <row r="11" spans="1:7" ht="15">
      <c r="A11" s="40" t="s">
        <v>36</v>
      </c>
      <c r="B11" s="61" t="e">
        <f>'Свод 2020'!O86-'Свод 2020'!O53-'Свод 2020'!O52-'Свод 2020'!O34-'Свод 2020'!O17-'Свод 2020'!#REF!</f>
        <v>#REF!</v>
      </c>
      <c r="C11" s="92" t="e">
        <f>'Свод 2020'!#REF!-'Свод 2020'!#REF!-'Свод 2020'!#REF!-'Свод 2020'!#REF!-'Свод 2020'!#REF!-'Свод 2020'!#REF!</f>
        <v>#REF!</v>
      </c>
      <c r="E11" s="40" t="s">
        <v>36</v>
      </c>
      <c r="F11" s="61" t="e">
        <f>B11+B32</f>
        <v>#REF!</v>
      </c>
      <c r="G11" s="92" t="e">
        <f>C11+C32</f>
        <v>#REF!</v>
      </c>
    </row>
    <row r="12" spans="1:7" ht="15">
      <c r="A12" s="40" t="s">
        <v>98</v>
      </c>
      <c r="B12" s="92" t="e">
        <f>'Свод 2020'!R86-'Свод 2020'!R53-'Свод 2020'!R52-'Свод 2020'!R34-'Свод 2020'!R17-'Свод 2020'!#REF!</f>
        <v>#REF!</v>
      </c>
      <c r="C12" s="4"/>
      <c r="E12" s="40" t="s">
        <v>98</v>
      </c>
      <c r="F12" s="92" t="e">
        <f>B12+B33</f>
        <v>#REF!</v>
      </c>
      <c r="G12" s="4"/>
    </row>
    <row r="13" spans="1:7" ht="15">
      <c r="A13" s="40" t="s">
        <v>100</v>
      </c>
      <c r="B13" s="61" t="e">
        <f>'Свод 2020'!#REF!-'Свод 2020'!#REF!-'Свод 2020'!#REF!-'Свод 2020'!#REF!-'Свод 2020'!#REF!-'Свод 2020'!#REF!</f>
        <v>#REF!</v>
      </c>
      <c r="C13" s="92" t="e">
        <f>'1.  Анкудинова 1 '!D13+'2.  Анкудинова 3'!D13+'3.  Анкудинова 5'!C13+'4.  Анкудинова 7'!C13+'5.  Анкудинова 9'!C13+'6.  Анкудинова 11'!C13+'7.  Анкудинова 13'!C13+#REF!+'9.  Анкудинова 17'!C13+'10.  Анкудинова 3Б'!C13+'11.  Анкудинова 5А'!C13+'12.  Анкудинова  11А '!C13+'13.  Анкудинова 17А '!C13+'14. Тихоокеанская 27'!C13+'15. Горького 12'!C13+'16. Горького 14'!C13+'17. Горького 16'!C13+'18. Горького 18'!C13+'19. Горького 20'!C13+'20. Горького 22'!C13+'21. Горького 14А'!C13+#REF!+'23. Комсомольская 165'!C13+'24. Комсомольская 167'!C13+'25. Комсомольская 169'!C13+#REF!+#REF!+'28.  Комсомольская 191'!C13+'29.  Комсомольская 193'!C13+'30.  Комсомольская 195'!C13+#REF!+'32. Комсомольская 167А'!C13+#REF!+#REF!+'35.  пр.Мира 157'!C13+'36.  пр .Мира 161'!C13+'37.  пр.Мира 163'!C13+'38. Мира 161-А'!C13+'39.  пр.Мира 163А '!C13+'40. Победы 4 '!C13+'41. Победы 6'!C13+'42. Победы 6-Б'!C13+'43. Победы 8'!C13+'44. Победы 10'!C14+'45. Победы 10-Б'!C14+'46. Победы 12'!C13+'47. Победы 14'!C13+'48. Победы 16'!C13+'49. Победы 18'!C13+'50. Победы 26'!C13+'51. Победы 48'!C13+'52.  пр.Победы 50'!C13+#REF!+'54.  пр.Победы 12А '!C13+#REF!+#REF!+#REF!+#REF!+#REF!+#REF!+#REF!+'62.  Поповича 14'!C13+#REF!+#REF!+#REF!+#REF!+#REF!+'68.  Поповича 25 '!C13+#REF!+#REF!+'71.  Поповича 43'!C13+'72.  Поповича 45'!C13+'73.  Поповича 47'!C13+#REF!+#REF!+#REF!+#REF!+#REF!+#REF!+'80.  Поповича 18А'!C15+#REF!+#REF!+#REF!+#REF!+#REF!+#REF!+'87.  Поповича 20А'!C13+#REF!+#REF!+#REF!+'91.  Поповича 22А'!C13+#REF!+#REF!+'94.  Поповича 24А'!C13+'95.  Поповича 43А'!C13+'96.  Поповича 45А'!C13+#REF!+'98.  Физкультурная 122'!C13+'99.  Физкультурная 124'!C13+'100.  Физкультурная 126'!C13+'101.  Физкультурная 128'!C13+'102.  Физкультурная 130'!C13+'103.  Физкультурная 124А'!C13+#REF!+'105.  Физкультурная 126А'!C13+'106.  Физкультурная 126Б'!C13</f>
        <v>#REF!</v>
      </c>
      <c r="E13" s="40" t="s">
        <v>100</v>
      </c>
      <c r="F13" s="61" t="e">
        <f>B13+B34</f>
        <v>#REF!</v>
      </c>
      <c r="G13" s="92" t="e">
        <f>'1.  Анкудинова 1 '!I13+'2.  Анкудинова 3'!I13+'3.  Анкудинова 5'!H13+'4.  Анкудинова 7'!H13+'5.  Анкудинова 9'!H13+'6.  Анкудинова 11'!H13+'7.  Анкудинова 13'!H13+#REF!+'9.  Анкудинова 17'!H13+'10.  Анкудинова 3Б'!H13+'11.  Анкудинова 5А'!H13+'12.  Анкудинова  11А '!H13+'13.  Анкудинова 17А '!H13+'14. Тихоокеанская 27'!H13+'15. Горького 12'!H13+'16. Горького 14'!H13+'17. Горького 16'!H13+'18. Горького 18'!H13+'19. Горького 20'!H13+'20. Горького 22'!H13+'21. Горького 14А'!H13+#REF!+'23. Комсомольская 165'!H13+'24. Комсомольская 167'!H13+'25. Комсомольская 169'!H13+#REF!+#REF!+'28.  Комсомольская 191'!H13+'29.  Комсомольская 193'!H13+'30.  Комсомольская 195'!H13+#REF!+'32. Комсомольская 167А'!H13+#REF!+#REF!+'35.  пр.Мира 157'!H13+'36.  пр .Мира 161'!H13+'37.  пр.Мира 163'!H13+'38. Мира 161-А'!H13+'39.  пр.Мира 163А '!H13+'40. Победы 4 '!H13+'41. Победы 6'!H13+'42. Победы 6-Б'!H13+'43. Победы 8'!H13+'44. Победы 10'!H14+'45. Победы 10-Б'!H14+'46. Победы 12'!H13+'47. Победы 14'!H13+'48. Победы 16'!H13+'49. Победы 18'!H13+'50. Победы 26'!H13+'51. Победы 48'!H13+'52.  пр.Победы 50'!H13+#REF!+'54.  пр.Победы 12А '!H13+#REF!+#REF!+#REF!+#REF!+#REF!+#REF!+#REF!+'62.  Поповича 14'!H13+#REF!+#REF!+#REF!+#REF!+#REF!+'68.  Поповича 25 '!H13+#REF!+#REF!+'71.  Поповича 43'!H13+'72.  Поповича 45'!H13+'73.  Поповича 47'!H13+#REF!+#REF!+#REF!+#REF!+#REF!+#REF!+'80.  Поповича 18А'!H15+#REF!+#REF!+#REF!+#REF!+#REF!+#REF!+'87.  Поповича 20А'!H13+#REF!+#REF!+#REF!+'91.  Поповича 22А'!H13+#REF!+#REF!+'94.  Поповича 24А'!H13+'95.  Поповича 43А'!H13+'96.  Поповича 45А'!H13+#REF!+'98.  Физкультурная 122'!H13+'99.  Физкультурная 124'!H13+'100.  Физкультурная 126'!H13+'101.  Физкультурная 128'!H13+'102.  Физкультурная 130'!H13+'103.  Физкультурная 124А'!H13+#REF!+'105.  Физкультурная 126А'!H13+'106.  Физкультурная 126Б'!H13</f>
        <v>#REF!</v>
      </c>
    </row>
    <row r="14" spans="1:7" ht="15">
      <c r="A14" s="40" t="s">
        <v>85</v>
      </c>
      <c r="B14" s="61" t="e">
        <f>'Свод 2020'!#REF!-'Свод 2020'!#REF!-'Свод 2020'!#REF!-'Свод 2020'!#REF!-'Свод 2020'!#REF!-'Свод 2020'!#REF!</f>
        <v>#REF!</v>
      </c>
      <c r="C14" s="92" t="e">
        <f>'Свод 2020'!#REF!-'Свод 2020'!#REF!-'Свод 2020'!#REF!-'Свод 2020'!#REF!-'Свод 2020'!#REF!-'Свод 2020'!#REF!</f>
        <v>#REF!</v>
      </c>
      <c r="E14" s="40" t="s">
        <v>85</v>
      </c>
      <c r="F14" s="61" t="e">
        <f>B14+B35</f>
        <v>#REF!</v>
      </c>
      <c r="G14" s="92" t="e">
        <f>C14+C35</f>
        <v>#REF!</v>
      </c>
    </row>
    <row r="15" spans="1:7" ht="15">
      <c r="A15" s="42" t="s">
        <v>2</v>
      </c>
      <c r="B15" s="92">
        <v>0</v>
      </c>
      <c r="C15" s="92" t="e">
        <f>'Свод 2020'!#REF!-'Свод 2020'!#REF!-'Свод 2020'!#REF!-'Свод 2020'!#REF!-'Свод 2020'!#REF!-'Свод 2020'!#REF!</f>
        <v>#REF!</v>
      </c>
      <c r="E15" s="42" t="s">
        <v>2</v>
      </c>
      <c r="F15" s="92">
        <v>0</v>
      </c>
      <c r="G15" s="92" t="e">
        <f>C15+C36</f>
        <v>#REF!</v>
      </c>
    </row>
    <row r="16" spans="1:7" ht="15">
      <c r="A16" s="42" t="s">
        <v>63</v>
      </c>
      <c r="B16" s="92" t="e">
        <f>'1.  Анкудинова 1 '!#REF!+'2.  Анкудинова 3'!C16+'3.  Анкудинова 5'!B16+'4.  Анкудинова 7'!B16+'5.  Анкудинова 9'!B16+'6.  Анкудинова 11'!B16+'7.  Анкудинова 13'!B16+#REF!+'9.  Анкудинова 17'!B16+'10.  Анкудинова 3Б'!B16+'11.  Анкудинова 5А'!B16+'12.  Анкудинова  11А '!B16+'13.  Анкудинова 17А '!B16+'14. Тихоокеанская 27'!B16+'15. Горького 12'!B16+'16. Горького 14'!B16+'17. Горького 16'!B16+'18. Горького 18'!B16+'19. Горького 20'!B16+'20. Горького 22'!B16+'21. Горького 14А'!B16+#REF!+'23. Комсомольская 165'!B16+'24. Комсомольская 167'!B16+'25. Комсомольская 169'!B16+#REF!+#REF!+'28.  Комсомольская 191'!B16+'29.  Комсомольская 193'!B16+'30.  Комсомольская 195'!B16+#REF!+'32. Комсомольская 167А'!B16+#REF!+#REF!+'35.  пр.Мира 157'!B16+'36.  пр .Мира 161'!B16+'37.  пр.Мира 163'!B16+'38. Мира 161-А'!B16+'39.  пр.Мира 163А '!B16+'40. Победы 4 '!B16+'41. Победы 6'!B16+'42. Победы 6-Б'!B16+'43. Победы 8'!B16+'44. Победы 10'!B17+'45. Победы 10-Б'!B17+'46. Победы 12'!B16+'47. Победы 14'!B16+'48. Победы 16'!B16+'49. Победы 18'!B16+'50. Победы 26'!B16+'51. Победы 48'!B16+'52.  пр.Победы 50'!B16+#REF!+'54.  пр.Победы 12А '!B16+#REF!+#REF!+#REF!+#REF!+#REF!+#REF!+#REF!+'62.  Поповича 14'!B16+#REF!+#REF!+#REF!+#REF!+#REF!+'68.  Поповича 25 '!B16+#REF!+#REF!+'71.  Поповича 43'!B16+'72.  Поповича 45'!B16+'73.  Поповича 47'!B16+#REF!+#REF!+#REF!+#REF!+#REF!+#REF!+'80.  Поповича 18А'!B18+#REF!+#REF!+#REF!+#REF!+#REF!+#REF!+'87.  Поповича 20А'!B16+#REF!+#REF!+#REF!+'91.  Поповича 22А'!B16+#REF!+#REF!+'94.  Поповича 24А'!B16+'95.  Поповича 43А'!B16+'96.  Поповича 45А'!B16+#REF!+'98.  Физкультурная 122'!B16+'99.  Физкультурная 124'!B16+'100.  Физкультурная 126'!B16+'101.  Физкультурная 128'!B16+'102.  Физкультурная 130'!B16+'103.  Физкультурная 124А'!B16+#REF!+'105.  Физкультурная 126А'!B16+'106.  Физкультурная 126Б'!B16</f>
        <v>#REF!</v>
      </c>
      <c r="C16" s="61" t="e">
        <f>'Свод 2020'!#REF!-'Свод 2020'!#REF!-'Свод 2020'!#REF!-'Свод 2020'!#REF!-'Свод 2020'!#REF!-'Свод 2020'!#REF!</f>
        <v>#REF!</v>
      </c>
      <c r="E16" s="42" t="s">
        <v>63</v>
      </c>
      <c r="F16" s="92" t="e">
        <f>'1.  Анкудинова 1 '!#REF!+'2.  Анкудинова 3'!H16+'3.  Анкудинова 5'!G16+'4.  Анкудинова 7'!G16+'5.  Анкудинова 9'!G16+'6.  Анкудинова 11'!G16+'7.  Анкудинова 13'!G16+#REF!+'9.  Анкудинова 17'!G16+'10.  Анкудинова 3Б'!G16+'11.  Анкудинова 5А'!G16+'12.  Анкудинова  11А '!G16+'13.  Анкудинова 17А '!G16+'14. Тихоокеанская 27'!G16+'15. Горького 12'!G16+'16. Горького 14'!G16+'17. Горького 16'!G16+'18. Горького 18'!G16+'19. Горького 20'!G16+'20. Горького 22'!G16+'21. Горького 14А'!G16+#REF!+'23. Комсомольская 165'!G16+'24. Комсомольская 167'!G16+'25. Комсомольская 169'!G16+#REF!+#REF!+'28.  Комсомольская 191'!G16+'29.  Комсомольская 193'!G16+'30.  Комсомольская 195'!G16+#REF!+'32. Комсомольская 167А'!G16+#REF!+#REF!+'35.  пр.Мира 157'!G16+'36.  пр .Мира 161'!G16+'37.  пр.Мира 163'!G16+'38. Мира 161-А'!G16+'39.  пр.Мира 163А '!G16+'40. Победы 4 '!G16+'41. Победы 6'!G16+'42. Победы 6-Б'!G16+'43. Победы 8'!G16+'44. Победы 10'!G17+'45. Победы 10-Б'!G17+'46. Победы 12'!G16+'47. Победы 14'!G16+'48. Победы 16'!G16+'49. Победы 18'!G16+'50. Победы 26'!G16+'51. Победы 48'!G16+'52.  пр.Победы 50'!G16+#REF!+'54.  пр.Победы 12А '!G16+#REF!+#REF!+#REF!+#REF!+#REF!+#REF!+#REF!+'62.  Поповича 14'!G16+#REF!+#REF!+#REF!+#REF!+#REF!+'68.  Поповича 25 '!G16+#REF!+#REF!+'71.  Поповича 43'!G16+'72.  Поповича 45'!G16+'73.  Поповича 47'!G16+#REF!+#REF!+#REF!+#REF!+#REF!+#REF!+'80.  Поповича 18А'!G18+#REF!+#REF!+#REF!+#REF!+#REF!+#REF!+'87.  Поповича 20А'!G16+#REF!+#REF!+#REF!+'91.  Поповича 22А'!G16+#REF!+#REF!+'94.  Поповича 24А'!G16+'95.  Поповича 43А'!G16+'96.  Поповича 45А'!G16+#REF!+'98.  Физкультурная 122'!G16+'99.  Физкультурная 124'!G16+'100.  Физкультурная 126'!G16+'101.  Физкультурная 128'!G16+'102.  Физкультурная 130'!G16+'103.  Физкультурная 124А'!G16+#REF!+'105.  Физкультурная 126А'!G16+'106.  Физкультурная 126Б'!G16</f>
        <v>#REF!</v>
      </c>
      <c r="G16" s="61" t="e">
        <f>C16+C37</f>
        <v>#REF!</v>
      </c>
    </row>
    <row r="17" spans="1:7" ht="14.25">
      <c r="A17" s="93" t="s">
        <v>83</v>
      </c>
      <c r="B17" s="92" t="e">
        <f>'Свод 2020'!#REF!-'Свод 2020'!#REF!-'Свод 2020'!#REF!-'Свод 2020'!#REF!-'Свод 2020'!#REF!-'Свод 2020'!#REF!</f>
        <v>#REF!</v>
      </c>
      <c r="C17" s="92"/>
      <c r="E17" s="93" t="s">
        <v>83</v>
      </c>
      <c r="F17" s="92" t="e">
        <f>B17+B38</f>
        <v>#REF!</v>
      </c>
      <c r="G17" s="92"/>
    </row>
    <row r="18" spans="1:7" ht="14.25">
      <c r="A18" s="93" t="s">
        <v>92</v>
      </c>
      <c r="B18" s="61" t="e">
        <f>'Свод 2020'!#REF!-'Свод 2020'!#REF!-'Свод 2020'!#REF!-'Свод 2020'!#REF!-'Свод 2020'!#REF!-'Свод 2020'!#REF!</f>
        <v>#REF!</v>
      </c>
      <c r="C18" s="92"/>
      <c r="E18" s="93" t="s">
        <v>92</v>
      </c>
      <c r="F18" s="61" t="e">
        <f>B18+B39</f>
        <v>#REF!</v>
      </c>
      <c r="G18" s="92"/>
    </row>
    <row r="23" spans="1:7">
      <c r="A23" s="297" t="s">
        <v>94</v>
      </c>
      <c r="B23" s="297"/>
      <c r="C23" s="297"/>
    </row>
    <row r="24" spans="1:7" ht="13.5" thickBot="1"/>
    <row r="25" spans="1:7" ht="30.75" thickBot="1">
      <c r="A25" s="36" t="s">
        <v>54</v>
      </c>
      <c r="B25" s="117" t="s">
        <v>55</v>
      </c>
      <c r="C25" s="118" t="s">
        <v>71</v>
      </c>
    </row>
    <row r="26" spans="1:7" ht="15">
      <c r="A26" s="39" t="s">
        <v>99</v>
      </c>
      <c r="B26" s="92" t="e">
        <f>'Свод 2020'!#REF!+'Свод 2020'!#REF!+'Свод 2020'!#REF!+'Свод 2020'!#REF!+'Свод 2020'!#REF!</f>
        <v>#REF!</v>
      </c>
      <c r="C26" s="92">
        <v>0</v>
      </c>
    </row>
    <row r="27" spans="1:7" ht="15">
      <c r="A27" s="39" t="s">
        <v>91</v>
      </c>
      <c r="B27" s="92">
        <v>0</v>
      </c>
      <c r="C27" s="92" t="e">
        <f>'Свод 2020'!#REF!+'Свод 2020'!#REF!+'Свод 2020'!#REF!+'Свод 2020'!#REF!+'Свод 2020'!#REF!</f>
        <v>#REF!</v>
      </c>
    </row>
    <row r="28" spans="1:7" ht="15">
      <c r="A28" s="40" t="s">
        <v>96</v>
      </c>
      <c r="B28" s="92" t="e">
        <f>'Свод 2020'!#REF!+'Свод 2020'!L17+'Свод 2020'!L34+'Свод 2020'!L52+'Свод 2020'!L53</f>
        <v>#REF!</v>
      </c>
      <c r="C28" s="92" t="e">
        <f>'Свод 2020'!#REF!+'Свод 2020'!#REF!+'Свод 2020'!#REF!+'Свод 2020'!#REF!+'Свод 2020'!#REF!</f>
        <v>#REF!</v>
      </c>
    </row>
    <row r="29" spans="1:7" ht="15">
      <c r="A29" s="40" t="s">
        <v>3</v>
      </c>
      <c r="B29" s="92" t="e">
        <f>'Свод 2020'!#REF!+'Свод 2020'!M17+'Свод 2020'!M34+'Свод 2020'!M52+'Свод 2020'!M53</f>
        <v>#REF!</v>
      </c>
      <c r="C29" s="92" t="e">
        <f>'Свод 2020'!#REF!+'Свод 2020'!#REF!+'Свод 2020'!#REF!+'Свод 2020'!#REF!+'Свод 2020'!#REF!</f>
        <v>#REF!</v>
      </c>
    </row>
    <row r="30" spans="1:7" ht="15">
      <c r="A30" s="40" t="s">
        <v>86</v>
      </c>
      <c r="B30" s="92" t="e">
        <f>'Свод 2020'!#REF!+'Свод 2020'!N17+'Свод 2020'!N34+'Свод 2020'!N52+'Свод 2020'!N53</f>
        <v>#REF!</v>
      </c>
      <c r="C30" s="92" t="e">
        <f>'Свод 2020'!#REF!+'Свод 2020'!#REF!+'Свод 2020'!#REF!+'Свод 2020'!#REF!+'Свод 2020'!#REF!</f>
        <v>#REF!</v>
      </c>
    </row>
    <row r="31" spans="1:7" ht="15">
      <c r="A31" s="40" t="s">
        <v>62</v>
      </c>
      <c r="B31" s="92">
        <v>0</v>
      </c>
      <c r="C31" s="61" t="e">
        <f>C27+C29</f>
        <v>#REF!</v>
      </c>
    </row>
    <row r="32" spans="1:7" ht="15">
      <c r="A32" s="40" t="s">
        <v>36</v>
      </c>
      <c r="B32" s="61" t="e">
        <f>'Свод 2020'!#REF!+'Свод 2020'!O17+'Свод 2020'!O34+'Свод 2020'!O52+'Свод 2020'!O53</f>
        <v>#REF!</v>
      </c>
      <c r="C32" s="92" t="e">
        <f>'Свод 2020'!#REF!+'Свод 2020'!#REF!+'Свод 2020'!#REF!+'Свод 2020'!#REF!+'Свод 2020'!#REF!</f>
        <v>#REF!</v>
      </c>
    </row>
    <row r="33" spans="1:3" ht="15">
      <c r="A33" s="40" t="s">
        <v>98</v>
      </c>
      <c r="B33" s="92" t="e">
        <f>'Свод 2020'!#REF!+'Свод 2020'!R17+'Свод 2020'!R34+'Свод 2020'!R52+'Свод 2020'!R53</f>
        <v>#REF!</v>
      </c>
      <c r="C33" s="92">
        <v>0</v>
      </c>
    </row>
    <row r="34" spans="1:3" ht="15">
      <c r="A34" s="40" t="s">
        <v>100</v>
      </c>
      <c r="B34" s="61" t="e">
        <f>'Свод 2020'!#REF!+'Свод 2020'!#REF!+'Свод 2020'!#REF!+'Свод 2020'!#REF!+'Свод 2020'!#REF!</f>
        <v>#REF!</v>
      </c>
      <c r="C34" s="92">
        <v>0</v>
      </c>
    </row>
    <row r="35" spans="1:3" ht="15">
      <c r="A35" s="40" t="s">
        <v>85</v>
      </c>
      <c r="B35" s="61" t="e">
        <f>'Свод 2020'!#REF!+'Свод 2020'!#REF!+'Свод 2020'!#REF!+'Свод 2020'!#REF!+'Свод 2020'!#REF!</f>
        <v>#REF!</v>
      </c>
      <c r="C35" s="92" t="e">
        <f>'Свод 2020'!#REF!+'Свод 2020'!#REF!+'Свод 2020'!#REF!+'Свод 2020'!#REF!+'Свод 2020'!#REF!</f>
        <v>#REF!</v>
      </c>
    </row>
    <row r="36" spans="1:3" ht="15">
      <c r="A36" s="42" t="s">
        <v>2</v>
      </c>
      <c r="B36" s="92"/>
      <c r="C36" s="92" t="e">
        <f>'Свод 2020'!#REF!+'Свод 2020'!#REF!+'Свод 2020'!#REF!+'Свод 2020'!#REF!+'Свод 2020'!#REF!</f>
        <v>#REF!</v>
      </c>
    </row>
    <row r="37" spans="1:3" ht="15">
      <c r="A37" s="42" t="s">
        <v>63</v>
      </c>
      <c r="B37" s="92"/>
      <c r="C37" s="61" t="e">
        <f>'Свод 2020'!#REF!+'Свод 2020'!#REF!+'Свод 2020'!#REF!+'Свод 2020'!#REF!+'Свод 2020'!#REF!</f>
        <v>#REF!</v>
      </c>
    </row>
    <row r="38" spans="1:3" ht="14.25">
      <c r="A38" s="93" t="s">
        <v>83</v>
      </c>
      <c r="B38" s="92" t="e">
        <f>'Свод 2020'!#REF!+'Свод 2020'!#REF!+'Свод 2020'!#REF!+'Свод 2020'!#REF!+'Свод 2020'!#REF!</f>
        <v>#REF!</v>
      </c>
      <c r="C38" s="92"/>
    </row>
    <row r="39" spans="1:3" ht="14.25">
      <c r="A39" s="93" t="s">
        <v>92</v>
      </c>
      <c r="B39" s="61" t="e">
        <f>'Свод 2020'!#REF!+'Свод 2020'!#REF!+'Свод 2020'!#REF!+'Свод 2020'!#REF!+'Свод 2020'!#REF!</f>
        <v>#REF!</v>
      </c>
      <c r="C39" s="92"/>
    </row>
  </sheetData>
  <mergeCells count="3">
    <mergeCell ref="A2:C2"/>
    <mergeCell ref="A23:C23"/>
    <mergeCell ref="E2:G2"/>
  </mergeCells>
  <phoneticPr fontId="0" type="noConversion"/>
  <pageMargins left="0.25" right="0.25" top="0.75" bottom="0.75" header="0.3" footer="0.3"/>
  <pageSetup paperSize="9" orientation="portrait" r:id="rId1"/>
  <headerFooter alignWithMargins="0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 codeName="Лист107"/>
  <dimension ref="A1:E36"/>
  <sheetViews>
    <sheetView workbookViewId="0">
      <selection activeCell="B26" sqref="B26"/>
    </sheetView>
  </sheetViews>
  <sheetFormatPr defaultRowHeight="12.75"/>
  <cols>
    <col min="1" max="1" width="60.42578125" customWidth="1"/>
    <col min="2" max="2" width="21.28515625" customWidth="1"/>
    <col min="3" max="3" width="19.28515625" customWidth="1"/>
    <col min="4" max="4" width="16.140625" customWidth="1"/>
    <col min="5" max="5" width="13.5703125" customWidth="1"/>
  </cols>
  <sheetData>
    <row r="1" spans="1:5" ht="14.25">
      <c r="A1" s="264"/>
      <c r="B1" s="264"/>
      <c r="C1" s="264"/>
    </row>
    <row r="2" spans="1:5" ht="14.25">
      <c r="A2" s="265"/>
      <c r="B2" s="265"/>
      <c r="C2" s="265"/>
    </row>
    <row r="3" spans="1:5" ht="14.25">
      <c r="A3" s="264"/>
      <c r="B3" s="264"/>
      <c r="C3" s="264"/>
    </row>
    <row r="4" spans="1:5" ht="15.75" thickBot="1">
      <c r="A4" s="57"/>
      <c r="B4" s="58"/>
      <c r="C4" s="59"/>
    </row>
    <row r="5" spans="1:5" ht="30.75" thickBot="1">
      <c r="A5" s="36" t="s">
        <v>54</v>
      </c>
      <c r="B5" s="37" t="s">
        <v>55</v>
      </c>
      <c r="C5" s="38" t="s">
        <v>71</v>
      </c>
    </row>
    <row r="6" spans="1:5" ht="15">
      <c r="A6" s="39" t="s">
        <v>99</v>
      </c>
      <c r="B6" s="92" t="e">
        <f>'1.  Анкудинова 1 '!C6+'2.  Анкудинова 3'!C6+'3.  Анкудинова 5'!B6+'4.  Анкудинова 7'!B6+'5.  Анкудинова 9'!B6+'6.  Анкудинова 11'!B6+'7.  Анкудинова 13'!B6+#REF!+'9.  Анкудинова 17'!B6+'10.  Анкудинова 3Б'!B6+'11.  Анкудинова 5А'!B6+'12.  Анкудинова  11А '!B6+'13.  Анкудинова 17А '!B6+'14. Тихоокеанская 27'!B6+'15. Горького 12'!B6+'16. Горького 14'!B6+'17. Горького 16'!B6+'18. Горького 18'!B6+'19. Горького 20'!B6+'20. Горького 22'!B6+'21. Горького 14А'!B6+#REF!+'23. Комсомольская 165'!B6+'24. Комсомольская 167'!B6+'25. Комсомольская 169'!B6+#REF!+#REF!+'28.  Комсомольская 191'!B6+'29.  Комсомольская 193'!B6+'30.  Комсомольская 195'!B6+#REF!+'32. Комсомольская 167А'!B6+#REF!+#REF!+'35.  пр.Мира 157'!B6+'36.  пр .Мира 161'!B6+'37.  пр.Мира 163'!B6+'38. Мира 161-А'!B6+'39.  пр.Мира 163А '!B6+'40. Победы 4 '!B6+'41. Победы 6'!B6+'42. Победы 6-А-1'!B6+'42. Победы 6-Б'!B6+'43. Победы 8'!B6+'44. Победы 10'!B7+'45. Победы 10-Б'!B7+'46. Победы 12'!B6+'47. Победы 14'!B6+'48. Победы 16'!B6+'49. Победы 18'!B6+'50. Победы 26'!B6+'51. Победы 48'!B6+'52.  пр.Победы 50'!B6+#REF!+'54.  пр.Победы 12А '!B6+#REF!+#REF!+#REF!+#REF!+#REF!+#REF!+#REF!+'62.  Поповича 14'!B6+#REF!+#REF!+#REF!+#REF!+#REF!+'68.  Поповича 25 '!B6+#REF!+#REF!+'71.  Поповича 43'!B6+'72.  Поповича 45'!B6+'73.  Поповича 47'!B6+#REF!+#REF!+#REF!+#REF!+#REF!+#REF!+'80.  Поповича 18А'!B8+#REF!+#REF!+#REF!+#REF!+#REF!+#REF!+'87.  Поповича 20А'!B6+#REF!+#REF!+#REF!+'91.  Поповича 22А'!B6+#REF!+#REF!+'94.  Поповича 24А'!B6+'95.  Поповича 43А'!B6+'96.  Поповича 45А'!B6+#REF!+'98.  Физкультурная 122'!B6+'99.  Физкультурная 124'!B6+'100.  Физкультурная 126'!B6+'101.  Физкультурная 128'!B6+'102.  Физкультурная 130'!B6+'103.  Физкультурная 124А'!B6+#REF!+'105.  Физкультурная 126А'!B6+'106.  Физкультурная 126Б'!B6</f>
        <v>#VALUE!</v>
      </c>
      <c r="C6" s="92"/>
    </row>
    <row r="7" spans="1:5" ht="15">
      <c r="A7" s="39" t="s">
        <v>91</v>
      </c>
      <c r="B7" s="92"/>
      <c r="C7" s="123" t="e">
        <f>'1.  Анкудинова 1 '!#REF!+'2.  Анкудинова 3'!D7+'3.  Анкудинова 5'!C7+'4.  Анкудинова 7'!C7+'5.  Анкудинова 9'!C7+'6.  Анкудинова 11'!C7+'7.  Анкудинова 13'!C7+#REF!+'9.  Анкудинова 17'!C7+'10.  Анкудинова 3Б'!C7+'11.  Анкудинова 5А'!C7+'12.  Анкудинова  11А '!C7+'13.  Анкудинова 17А '!C7+'14. Тихоокеанская 27'!C7+'15. Горького 12'!C7+'16. Горького 14'!C7+'17. Горького 16'!C7+'18. Горького 18'!C7+'19. Горького 20'!C7+'20. Горького 22'!C7+'21. Горького 14А'!C7+#REF!+'23. Комсомольская 165'!C7+'24. Комсомольская 167'!C7+'25. Комсомольская 169'!C7+#REF!+#REF!+'28.  Комсомольская 191'!C7+'29.  Комсомольская 193'!C7+'30.  Комсомольская 195'!C7+#REF!+'32. Комсомольская 167А'!C7+#REF!+#REF!+'35.  пр.Мира 157'!C7+'36.  пр .Мира 161'!C7+'37.  пр.Мира 163'!C7+'38. Мира 161-А'!C7+'39.  пр.Мира 163А '!C7+'40. Победы 4 '!C7+'41. Победы 6'!C7+'42. Победы 6-А-1'!C7+'42. Победы 6-Б'!C7+'43. Победы 8'!C7+'44. Победы 10'!C8+'45. Победы 10-Б'!C8+'46. Победы 12'!C7+'47. Победы 14'!C7+'48. Победы 16'!C7+'49. Победы 18'!C7+'50. Победы 26'!C7+'51. Победы 48'!C7+'52.  пр.Победы 50'!C7+#REF!+'54.  пр.Победы 12А '!C7+#REF!+#REF!+#REF!+#REF!+#REF!+#REF!+#REF!+'62.  Поповича 14'!C7+#REF!+#REF!+#REF!+#REF!+#REF!+'68.  Поповича 25 '!C7+#REF!+#REF!+'71.  Поповича 43'!C7+'72.  Поповича 45'!C7+'73.  Поповича 47'!C7+#REF!+#REF!+#REF!+#REF!+#REF!+#REF!+'80.  Поповича 18А'!C9+#REF!+#REF!+#REF!+#REF!+#REF!+#REF!+'87.  Поповича 20А'!C7+#REF!+#REF!+#REF!+'91.  Поповича 22А'!C7+#REF!+#REF!+'94.  Поповича 24А'!C7+'95.  Поповича 43А'!C7+'96.  Поповича 45А'!C7+#REF!+'98.  Физкультурная 122'!C7+'99.  Физкультурная 124'!C7+'100.  Физкультурная 126'!C7+'101.  Физкультурная 128'!C7+'102.  Физкультурная 130'!C7+'103.  Физкультурная 124А'!C7+#REF!+'105.  Физкультурная 126А'!C7+'106.  Физкультурная 126Б'!C7</f>
        <v>#REF!</v>
      </c>
    </row>
    <row r="8" spans="1:5" ht="15">
      <c r="A8" s="40" t="s">
        <v>97</v>
      </c>
      <c r="B8" s="92" t="e">
        <f>'1.  Анкудинова 1 '!C7+'2.  Анкудинова 3'!C8+'3.  Анкудинова 5'!B8+'4.  Анкудинова 7'!B8+'5.  Анкудинова 9'!B8+'6.  Анкудинова 11'!B8+'7.  Анкудинова 13'!B8+#REF!+'9.  Анкудинова 17'!B8+'10.  Анкудинова 3Б'!B8+'11.  Анкудинова 5А'!B8+'12.  Анкудинова  11А '!B8+'13.  Анкудинова 17А '!B8+'14. Тихоокеанская 27'!B8+'15. Горького 12'!B8+'16. Горького 14'!B8+'17. Горького 16'!B8+'18. Горького 18'!B8+'19. Горького 20'!B8+'20. Горького 22'!B8+'21. Горького 14А'!B8+#REF!+'23. Комсомольская 165'!B8+'24. Комсомольская 167'!B8+'25. Комсомольская 169'!B8+#REF!+#REF!+'28.  Комсомольская 191'!B8+'29.  Комсомольская 193'!B8+'30.  Комсомольская 195'!B8+#REF!+'32. Комсомольская 167А'!B8+#REF!+#REF!+'35.  пр.Мира 157'!B8+'36.  пр .Мира 161'!B8+'37.  пр.Мира 163'!B8+'38. Мира 161-А'!B8+'39.  пр.Мира 163А '!B8+'40. Победы 4 '!B8+'41. Победы 6'!B8+'42. Победы 6-А-1'!B8+'42. Победы 6-Б'!B8+'43. Победы 8'!B8+'44. Победы 10'!B9+'45. Победы 10-Б'!B9+'46. Победы 12'!B8+'47. Победы 14'!B8+'48. Победы 16'!B8+'49. Победы 18'!B8+'50. Победы 26'!B8+'51. Победы 48'!B8+'52.  пр.Победы 50'!B8+#REF!+'54.  пр.Победы 12А '!B8+#REF!+#REF!+#REF!+#REF!+#REF!+#REF!+#REF!+'62.  Поповича 14'!B8+#REF!+#REF!+#REF!+#REF!+#REF!+'68.  Поповича 25 '!B8+#REF!+#REF!+'71.  Поповича 43'!B8+'72.  Поповича 45'!B8+'73.  Поповича 47'!B8+#REF!+#REF!+#REF!+#REF!+#REF!+#REF!+'80.  Поповича 18А'!B10+#REF!+#REF!+#REF!+#REF!+#REF!+#REF!+'87.  Поповича 20А'!B8+#REF!+#REF!+#REF!+'91.  Поповича 22А'!B8+#REF!+#REF!+'94.  Поповича 24А'!B8+'95.  Поповича 43А'!B8+'96.  Поповича 45А'!B8+#REF!+'98.  Физкультурная 122'!B8+'99.  Физкультурная 124'!B8+'100.  Физкультурная 126'!B8+'101.  Физкультурная 128'!B8+'102.  Физкультурная 130'!B8+'103.  Физкультурная 124А'!B8+#REF!+'105.  Физкультурная 126А'!B8+'106.  Физкультурная 126Б'!B8</f>
        <v>#VALUE!</v>
      </c>
      <c r="C8" s="123" t="e">
        <f>'1.  Анкудинова 1 '!D7+'2.  Анкудинова 3'!D8+'3.  Анкудинова 5'!C8+'4.  Анкудинова 7'!C8+'5.  Анкудинова 9'!C8+'6.  Анкудинова 11'!C8+'7.  Анкудинова 13'!C8+#REF!+'9.  Анкудинова 17'!C8+'10.  Анкудинова 3Б'!C8+'11.  Анкудинова 5А'!C8+'12.  Анкудинова  11А '!C8+'13.  Анкудинова 17А '!C8+'14. Тихоокеанская 27'!C8+'15. Горького 12'!C8+'16. Горького 14'!C8+'17. Горького 16'!C8+'18. Горького 18'!C8+'19. Горького 20'!C8+'20. Горького 22'!C8+'21. Горького 14А'!C8+#REF!+'23. Комсомольская 165'!C8+'24. Комсомольская 167'!C8+'25. Комсомольская 169'!C8+#REF!+#REF!+'28.  Комсомольская 191'!C8+'29.  Комсомольская 193'!C8+'30.  Комсомольская 195'!C8+#REF!+'32. Комсомольская 167А'!C8+#REF!+#REF!+'35.  пр.Мира 157'!C8+'36.  пр .Мира 161'!C8+'37.  пр.Мира 163'!C8+'38. Мира 161-А'!C8+'39.  пр.Мира 163А '!C8+'40. Победы 4 '!C8+'41. Победы 6'!C8+'42. Победы 6-А-1'!C8+'42. Победы 6-Б'!C8+'43. Победы 8'!C8+'44. Победы 10'!C9+'45. Победы 10-Б'!C9+'46. Победы 12'!C8+'47. Победы 14'!C8+'48. Победы 16'!C8+'49. Победы 18'!C8+'50. Победы 26'!C8+'51. Победы 48'!C8+'52.  пр.Победы 50'!C8+#REF!+'54.  пр.Победы 12А '!C8+#REF!+#REF!+#REF!+#REF!+#REF!+#REF!+#REF!+'62.  Поповича 14'!C8+#REF!+#REF!+#REF!+#REF!+#REF!+'68.  Поповича 25 '!C8+#REF!+#REF!+'71.  Поповича 43'!C8+'72.  Поповича 45'!C8+'73.  Поповича 47'!C8+#REF!+#REF!+#REF!+#REF!+#REF!+#REF!+'80.  Поповича 18А'!C10+#REF!+#REF!+#REF!+#REF!+#REF!+#REF!+'87.  Поповича 20А'!C8+#REF!+#REF!+#REF!+'91.  Поповича 22А'!C8+#REF!+#REF!+'94.  Поповича 24А'!C8+'95.  Поповича 43А'!C8+'96.  Поповича 45А'!C8+#REF!+'98.  Физкультурная 122'!C8+'99.  Физкультурная 124'!C8+'100.  Физкультурная 126'!C8+'101.  Физкультурная 128'!C8+'102.  Физкультурная 130'!C8+'103.  Физкультурная 124А'!C8+#REF!+'105.  Физкультурная 126А'!C8+'106.  Физкультурная 126Б'!C8</f>
        <v>#REF!</v>
      </c>
    </row>
    <row r="9" spans="1:5" ht="15">
      <c r="A9" s="40" t="s">
        <v>3</v>
      </c>
      <c r="B9" s="92" t="e">
        <f>'1.  Анкудинова 1 '!C8+'2.  Анкудинова 3'!C9+'3.  Анкудинова 5'!B9+'4.  Анкудинова 7'!B9+'5.  Анкудинова 9'!B9+'6.  Анкудинова 11'!B9+'7.  Анкудинова 13'!B9+#REF!+'9.  Анкудинова 17'!B9+'10.  Анкудинова 3Б'!B9+'11.  Анкудинова 5А'!B9+'12.  Анкудинова  11А '!B9+'13.  Анкудинова 17А '!B9+'14. Тихоокеанская 27'!B9+'15. Горького 12'!B9+'16. Горького 14'!B9+'17. Горького 16'!B9+'18. Горького 18'!B9+'19. Горького 20'!B9+'20. Горького 22'!B9+'21. Горького 14А'!B9+#REF!+'23. Комсомольская 165'!B9+'24. Комсомольская 167'!B9+'25. Комсомольская 169'!B9+#REF!+#REF!+'28.  Комсомольская 191'!B9+'29.  Комсомольская 193'!B9+'30.  Комсомольская 195'!B9+#REF!+'32. Комсомольская 167А'!B9+#REF!+#REF!+'35.  пр.Мира 157'!B9+'36.  пр .Мира 161'!B9+'37.  пр.Мира 163'!B9+'38. Мира 161-А'!B9+'39.  пр.Мира 163А '!B9+'40. Победы 4 '!B9+'41. Победы 6'!B9+'42. Победы 6-А-1'!B9+'42. Победы 6-Б'!B9+'43. Победы 8'!B9+'44. Победы 10'!B10+'45. Победы 10-Б'!B10+'46. Победы 12'!B9+'47. Победы 14'!B9+'48. Победы 16'!B9+'49. Победы 18'!B9+'50. Победы 26'!B9+'51. Победы 48'!B9+'52.  пр.Победы 50'!B9+#REF!+'54.  пр.Победы 12А '!B9+#REF!+#REF!+#REF!+#REF!+#REF!+#REF!+#REF!+'62.  Поповича 14'!B9+#REF!+#REF!+#REF!+#REF!+#REF!+'68.  Поповича 25 '!B9+#REF!+#REF!+'71.  Поповича 43'!B9+'72.  Поповича 45'!B9+'73.  Поповича 47'!B9+#REF!+#REF!+#REF!+#REF!+#REF!+#REF!+'80.  Поповича 18А'!B11+#REF!+#REF!+#REF!+#REF!+#REF!+#REF!+'87.  Поповича 20А'!B9+#REF!+#REF!+#REF!+'91.  Поповича 22А'!B9+#REF!+#REF!+'94.  Поповича 24А'!B9+'95.  Поповича 43А'!B9+'96.  Поповича 45А'!B9+#REF!+'98.  Физкультурная 122'!B9+'99.  Физкультурная 124'!B9+'100.  Физкультурная 126'!B9+'101.  Физкультурная 128'!B9+'102.  Физкультурная 130'!B9+'103.  Физкультурная 124А'!B9+#REF!+'105.  Физкультурная 126А'!B9+'106.  Физкультурная 126Б'!B9</f>
        <v>#VALUE!</v>
      </c>
      <c r="C9" s="123" t="e">
        <f>'1.  Анкудинова 1 '!D8+'2.  Анкудинова 3'!D9+'3.  Анкудинова 5'!C9+'4.  Анкудинова 7'!C9+'5.  Анкудинова 9'!C9+'6.  Анкудинова 11'!C9+'7.  Анкудинова 13'!C9+#REF!+'9.  Анкудинова 17'!C9+'10.  Анкудинова 3Б'!C9+'11.  Анкудинова 5А'!C9+'12.  Анкудинова  11А '!C9+'13.  Анкудинова 17А '!C9+'14. Тихоокеанская 27'!C9+'15. Горького 12'!C9+'16. Горького 14'!C9+'17. Горького 16'!C9+'18. Горького 18'!C9+'19. Горького 20'!C9+'20. Горького 22'!C9+'21. Горького 14А'!C9+#REF!+'23. Комсомольская 165'!C9+'24. Комсомольская 167'!C9+'25. Комсомольская 169'!C9+#REF!+#REF!+'28.  Комсомольская 191'!C9+'29.  Комсомольская 193'!C9+'30.  Комсомольская 195'!C9+#REF!+'32. Комсомольская 167А'!C9+#REF!+#REF!+'35.  пр.Мира 157'!C9+'36.  пр .Мира 161'!C9+'37.  пр.Мира 163'!C9+'38. Мира 161-А'!C9+'39.  пр.Мира 163А '!C9+'40. Победы 4 '!C9+'41. Победы 6'!C9+'42. Победы 6-А-1'!C9+'42. Победы 6-Б'!C9+'43. Победы 8'!C9+'44. Победы 10'!C10+'45. Победы 10-Б'!C10+'46. Победы 12'!C9+'47. Победы 14'!C9+'48. Победы 16'!C9+'49. Победы 18'!C9+'50. Победы 26'!C9+'51. Победы 48'!C9+'52.  пр.Победы 50'!C9+#REF!+'54.  пр.Победы 12А '!C9+#REF!+#REF!+#REF!+#REF!+#REF!+#REF!+#REF!+'62.  Поповича 14'!C9+#REF!+#REF!+#REF!+#REF!+#REF!+'68.  Поповича 25 '!C9+#REF!+#REF!+'71.  Поповича 43'!C9+'72.  Поповича 45'!C9+'73.  Поповича 47'!C9+#REF!+#REF!+#REF!+#REF!+#REF!+#REF!+'80.  Поповича 18А'!C11+#REF!+#REF!+#REF!+#REF!+#REF!+#REF!+'87.  Поповича 20А'!C9+#REF!+#REF!+#REF!+'91.  Поповича 22А'!C9+#REF!+#REF!+'94.  Поповича 24А'!C9+'95.  Поповича 43А'!C9+'96.  Поповича 45А'!C9+#REF!+'98.  Физкультурная 122'!C9+'99.  Физкультурная 124'!C9+'100.  Физкультурная 126'!C9+'101.  Физкультурная 128'!C9+'102.  Физкультурная 130'!C9+'103.  Физкультурная 124А'!C9+#REF!+'105.  Физкультурная 126А'!C9+'106.  Физкультурная 126Б'!C9</f>
        <v>#REF!</v>
      </c>
    </row>
    <row r="10" spans="1:5" ht="15">
      <c r="A10" s="40" t="s">
        <v>86</v>
      </c>
      <c r="B10" s="92" t="e">
        <f>'1.  Анкудинова 1 '!C9+'2.  Анкудинова 3'!C10+'3.  Анкудинова 5'!B10+'4.  Анкудинова 7'!B10+'5.  Анкудинова 9'!B10+'6.  Анкудинова 11'!B10+'7.  Анкудинова 13'!B10+#REF!+'9.  Анкудинова 17'!B10+'10.  Анкудинова 3Б'!B10+'11.  Анкудинова 5А'!B10+'12.  Анкудинова  11А '!B10+'13.  Анкудинова 17А '!B10+'14. Тихоокеанская 27'!B10+'15. Горького 12'!B10+'16. Горького 14'!B10+'17. Горького 16'!B10+'18. Горького 18'!B10+'19. Горького 20'!B10+'20. Горького 22'!B10+'21. Горького 14А'!B10+#REF!+'23. Комсомольская 165'!B10+'24. Комсомольская 167'!B10+'25. Комсомольская 169'!B10+#REF!+#REF!+'28.  Комсомольская 191'!B10+'29.  Комсомольская 193'!B10+'30.  Комсомольская 195'!B10+#REF!+'32. Комсомольская 167А'!B10+#REF!+#REF!+'35.  пр.Мира 157'!B10+'36.  пр .Мира 161'!B10+'37.  пр.Мира 163'!B10+'38. Мира 161-А'!B10+'39.  пр.Мира 163А '!B10+'40. Победы 4 '!B10+'41. Победы 6'!B10+'42. Победы 6-А-1'!B10+'42. Победы 6-Б'!B10+'43. Победы 8'!B10+'44. Победы 10'!B11+'45. Победы 10-Б'!B11+'46. Победы 12'!B10+'47. Победы 14'!B10+'48. Победы 16'!B10+'49. Победы 18'!B10+'50. Победы 26'!B10+'51. Победы 48'!B10+'52.  пр.Победы 50'!B10+#REF!+'54.  пр.Победы 12А '!B10+#REF!+#REF!+#REF!+#REF!+#REF!+#REF!+#REF!+'62.  Поповича 14'!B10+#REF!+#REF!+#REF!+#REF!+#REF!+'68.  Поповича 25 '!B10+#REF!+#REF!+'71.  Поповича 43'!B10+'72.  Поповича 45'!B10+'73.  Поповича 47'!B10+#REF!+#REF!+#REF!+#REF!+#REF!+#REF!+'80.  Поповича 18А'!B12+#REF!+#REF!+#REF!+#REF!+#REF!+#REF!+'87.  Поповича 20А'!B10+#REF!+#REF!+#REF!+'91.  Поповича 22А'!B10+#REF!+#REF!+'94.  Поповича 24А'!B10+'95.  Поповича 43А'!B10+'96.  Поповича 45А'!B10+#REF!+'98.  Физкультурная 122'!B10+'99.  Физкультурная 124'!B10+'100.  Физкультурная 126'!B10+'101.  Физкультурная 128'!B10+'102.  Физкультурная 130'!B10+'103.  Физкультурная 124А'!B10+#REF!+'105.  Физкультурная 126А'!B10+'106.  Физкультурная 126Б'!B10</f>
        <v>#VALUE!</v>
      </c>
      <c r="C10" s="123" t="e">
        <f>'1.  Анкудинова 1 '!D9+'2.  Анкудинова 3'!D10+'3.  Анкудинова 5'!C10+'4.  Анкудинова 7'!C10+'5.  Анкудинова 9'!C10+'6.  Анкудинова 11'!C10+'7.  Анкудинова 13'!C10+#REF!+'9.  Анкудинова 17'!C10+'10.  Анкудинова 3Б'!C10+'11.  Анкудинова 5А'!C10+'12.  Анкудинова  11А '!C10+'13.  Анкудинова 17А '!C10+'14. Тихоокеанская 27'!C10+'15. Горького 12'!C10+'16. Горького 14'!C10+'17. Горького 16'!C10+'18. Горького 18'!C10+'19. Горького 20'!C10+'20. Горького 22'!C10+'21. Горького 14А'!C10+#REF!+'23. Комсомольская 165'!C10+'24. Комсомольская 167'!C10+'25. Комсомольская 169'!C10+#REF!+#REF!+'28.  Комсомольская 191'!C10+'29.  Комсомольская 193'!C10+'30.  Комсомольская 195'!C10+#REF!+'32. Комсомольская 167А'!C10+#REF!+#REF!+'35.  пр.Мира 157'!C10+'36.  пр .Мира 161'!C10+'37.  пр.Мира 163'!C10+'38. Мира 161-А'!C10+'39.  пр.Мира 163А '!C10+'40. Победы 4 '!C10+'41. Победы 6'!C10+'42. Победы 6-А-1'!C10+'42. Победы 6-Б'!C10+'43. Победы 8'!C10+'44. Победы 10'!C11+'45. Победы 10-Б'!C11+'46. Победы 12'!C10+'47. Победы 14'!C10+'48. Победы 16'!C10+'49. Победы 18'!C10+'50. Победы 26'!C10+'51. Победы 48'!C10+'52.  пр.Победы 50'!C10+#REF!+'54.  пр.Победы 12А '!C10+#REF!+#REF!+#REF!+#REF!+#REF!+#REF!+#REF!+'62.  Поповича 14'!C10+#REF!+#REF!+#REF!+#REF!+#REF!+'68.  Поповича 25 '!C10+#REF!+#REF!+'71.  Поповича 43'!C10+'72.  Поповича 45'!C10+'73.  Поповича 47'!C10+#REF!+#REF!+#REF!+#REF!+#REF!+#REF!+'80.  Поповича 18А'!C12+#REF!+#REF!+#REF!+#REF!+#REF!+#REF!+'87.  Поповича 20А'!C10+#REF!+#REF!+#REF!+'91.  Поповича 22А'!C10+#REF!+#REF!+'94.  Поповича 24А'!C10+'95.  Поповича 43А'!C10+'96.  Поповича 45А'!C10+#REF!+'98.  Физкультурная 122'!C10+'99.  Физкультурная 124'!C10+'100.  Физкультурная 126'!C10+'101.  Физкультурная 128'!C10+'102.  Физкультурная 130'!C10+'103.  Физкультурная 124А'!C10+#REF!+'105.  Физкультурная 126А'!C10+'106.  Физкультурная 126Б'!C10</f>
        <v>#REF!</v>
      </c>
    </row>
    <row r="11" spans="1:5" ht="15">
      <c r="A11" s="40" t="s">
        <v>62</v>
      </c>
      <c r="B11" s="92"/>
      <c r="C11" s="123" t="e">
        <f>C7+C9</f>
        <v>#REF!</v>
      </c>
    </row>
    <row r="12" spans="1:5" ht="15">
      <c r="A12" s="40" t="s">
        <v>36</v>
      </c>
      <c r="B12" s="92" t="e">
        <f>'1.  Анкудинова 1 '!C10+'2.  Анкудинова 3'!C12+'3.  Анкудинова 5'!B12+'4.  Анкудинова 7'!B12+'5.  Анкудинова 9'!B12+'6.  Анкудинова 11'!B12+'7.  Анкудинова 13'!B12+#REF!+'9.  Анкудинова 17'!B12+'10.  Анкудинова 3Б'!B12+'11.  Анкудинова 5А'!B12+'12.  Анкудинова  11А '!B12+'13.  Анкудинова 17А '!B12+'14. Тихоокеанская 27'!B12+'15. Горького 12'!B12+'16. Горького 14'!B12+'17. Горького 16'!B12+'18. Горького 18'!B12+'19. Горького 20'!B12+'20. Горького 22'!B12+'21. Горького 14А'!B12+#REF!+'23. Комсомольская 165'!B12+'24. Комсомольская 167'!B12+'25. Комсомольская 169'!B12+#REF!+#REF!+'28.  Комсомольская 191'!B12+'29.  Комсомольская 193'!B12+'30.  Комсомольская 195'!B12+#REF!+'32. Комсомольская 167А'!B12+#REF!+#REF!+'35.  пр.Мира 157'!B12+'36.  пр .Мира 161'!B12+'37.  пр.Мира 163'!B12+'38. Мира 161-А'!B12+'39.  пр.Мира 163А '!B12+'40. Победы 4 '!B12+'41. Победы 6'!B12+'42. Победы 6-А-1'!B12+'42. Победы 6-Б'!B12+'43. Победы 8'!B12+'44. Победы 10'!B13+'45. Победы 10-Б'!B13+'46. Победы 12'!B12+'47. Победы 14'!B12+'48. Победы 16'!B12+'49. Победы 18'!B12+'50. Победы 26'!B12+'51. Победы 48'!B12+'52.  пр.Победы 50'!B12+#REF!+'54.  пр.Победы 12А '!B12+#REF!+#REF!+#REF!+#REF!+#REF!+#REF!+#REF!+'62.  Поповича 14'!B12+#REF!+#REF!+#REF!+#REF!+#REF!+'68.  Поповича 25 '!B12+#REF!+#REF!+'71.  Поповича 43'!B12+'72.  Поповича 45'!B12+'73.  Поповича 47'!B12+#REF!+#REF!+#REF!+#REF!+#REF!+#REF!+'80.  Поповича 18А'!B14+#REF!+#REF!+#REF!+#REF!+#REF!+#REF!+'87.  Поповича 20А'!B12+#REF!+#REF!+#REF!+'91.  Поповича 22А'!B12+#REF!+#REF!+'94.  Поповича 24А'!B12+'95.  Поповича 43А'!B12+'96.  Поповича 45А'!B12+#REF!+'98.  Физкультурная 122'!B12+'99.  Физкультурная 124'!B12+'100.  Физкультурная 126'!B12+'101.  Физкультурная 128'!B12+'102.  Физкультурная 130'!B12+'103.  Физкультурная 124А'!B12+#REF!+'105.  Физкультурная 126А'!B12+'106.  Физкультурная 126Б'!B12</f>
        <v>#VALUE!</v>
      </c>
      <c r="C12" s="123" t="e">
        <f>'1.  Анкудинова 1 '!D10+'2.  Анкудинова 3'!D12+'3.  Анкудинова 5'!C12+'4.  Анкудинова 7'!C12+'5.  Анкудинова 9'!C12+'6.  Анкудинова 11'!C12+'7.  Анкудинова 13'!C12+#REF!+'9.  Анкудинова 17'!C12+'10.  Анкудинова 3Б'!C12+'11.  Анкудинова 5А'!C12+'12.  Анкудинова  11А '!C12+'13.  Анкудинова 17А '!C12+'14. Тихоокеанская 27'!C12+'15. Горького 12'!C12+'16. Горького 14'!C12+'17. Горького 16'!C12+'18. Горького 18'!C12+'19. Горького 20'!C12+'20. Горького 22'!C12+'21. Горького 14А'!C12+#REF!+'23. Комсомольская 165'!C12+'24. Комсомольская 167'!C12+'25. Комсомольская 169'!C12+#REF!+#REF!+'28.  Комсомольская 191'!C12+'29.  Комсомольская 193'!C12+'30.  Комсомольская 195'!C12+#REF!+'32. Комсомольская 167А'!C12+#REF!+#REF!+'35.  пр.Мира 157'!C12+'36.  пр .Мира 161'!C12+'37.  пр.Мира 163'!C12+'38. Мира 161-А'!C12+'39.  пр.Мира 163А '!C12+'40. Победы 4 '!C12+'41. Победы 6'!C12+'42. Победы 6-А-1'!C12+'42. Победы 6-Б'!C12+'43. Победы 8'!C12+'44. Победы 10'!C13+'45. Победы 10-Б'!C13+'46. Победы 12'!C12+'47. Победы 14'!C12+'48. Победы 16'!C12+'49. Победы 18'!C12+'50. Победы 26'!C12+'51. Победы 48'!C12+'52.  пр.Победы 50'!C12+#REF!+'54.  пр.Победы 12А '!C12+#REF!+#REF!+#REF!+#REF!+#REF!+#REF!+#REF!+'62.  Поповича 14'!C12+#REF!+#REF!+#REF!+#REF!+#REF!+'68.  Поповича 25 '!C12+#REF!+#REF!+'71.  Поповича 43'!C12+'72.  Поповича 45'!C12+'73.  Поповича 47'!C12+#REF!+#REF!+#REF!+#REF!+#REF!+#REF!+'80.  Поповича 18А'!C14+#REF!+#REF!+#REF!+#REF!+#REF!+#REF!+'87.  Поповича 20А'!C12+#REF!+#REF!+#REF!+'91.  Поповича 22А'!C12+#REF!+#REF!+'94.  Поповича 24А'!C12+'95.  Поповича 43А'!C12+'96.  Поповича 45А'!C12+#REF!+'98.  Физкультурная 122'!C12+'99.  Физкультурная 124'!C12+'100.  Физкультурная 126'!C12+'101.  Физкультурная 128'!C12+'102.  Физкультурная 130'!C12+'103.  Физкультурная 124А'!C12+#REF!+'105.  Физкультурная 126А'!C12+'106.  Физкультурная 126Б'!C12</f>
        <v>#REF!</v>
      </c>
    </row>
    <row r="13" spans="1:5" ht="15">
      <c r="A13" s="40" t="s">
        <v>98</v>
      </c>
      <c r="B13" s="92" t="e">
        <f>'1.  Анкудинова 1 '!C13+'2.  Анкудинова 3'!C13+'3.  Анкудинова 5'!B13+'4.  Анкудинова 7'!B13+'5.  Анкудинова 9'!B13+'6.  Анкудинова 11'!B13+'7.  Анкудинова 13'!B13+#REF!+'9.  Анкудинова 17'!B13+'10.  Анкудинова 3Б'!B13+'11.  Анкудинова 5А'!B13+'12.  Анкудинова  11А '!B13+'13.  Анкудинова 17А '!B13+'14. Тихоокеанская 27'!B13+'15. Горького 12'!B13+'16. Горького 14'!B13+'17. Горького 16'!B13+'18. Горького 18'!B13+'19. Горького 20'!B13+'20. Горького 22'!B13+'21. Горького 14А'!B13+#REF!+'23. Комсомольская 165'!B13+'24. Комсомольская 167'!B13+'25. Комсомольская 169'!B13+#REF!+#REF!+'28.  Комсомольская 191'!B13+'29.  Комсомольская 193'!B13+'30.  Комсомольская 195'!B13+#REF!+'32. Комсомольская 167А'!B13+#REF!+#REF!+'35.  пр.Мира 157'!B13+'36.  пр .Мира 161'!B13+'37.  пр.Мира 163'!B13+'38. Мира 161-А'!B13+'39.  пр.Мира 163А '!B13+'40. Победы 4 '!B13+'41. Победы 6'!B13+'42. Победы 6-А-1'!B13+'42. Победы 6-Б'!B13+'43. Победы 8'!B13+'44. Победы 10'!B14+'45. Победы 10-Б'!B14+'46. Победы 12'!B13+'47. Победы 14'!B13+'48. Победы 16'!B13+'49. Победы 18'!B13+'50. Победы 26'!B13+'51. Победы 48'!B13+'52.  пр.Победы 50'!B13+#REF!+'54.  пр.Победы 12А '!B13+#REF!+#REF!+#REF!+#REF!+#REF!+#REF!+#REF!+'62.  Поповича 14'!B13+#REF!+#REF!+#REF!+#REF!+#REF!+'68.  Поповича 25 '!B13+#REF!+#REF!+'71.  Поповича 43'!B13+'72.  Поповича 45'!B13+'73.  Поповича 47'!B13+#REF!+#REF!+#REF!+#REF!+#REF!+#REF!+'80.  Поповича 18А'!B15+#REF!+#REF!+#REF!+#REF!+#REF!+#REF!+'87.  Поповича 20А'!B13+#REF!+#REF!+#REF!+'91.  Поповича 22А'!B13+#REF!+#REF!+'94.  Поповича 24А'!B13+'95.  Поповича 43А'!B13+'96.  Поповича 45А'!B13+#REF!+'98.  Физкультурная 122'!B13+'99.  Физкультурная 124'!B13+'100.  Физкультурная 126'!B13+'101.  Физкультурная 128'!B13+'102.  Физкультурная 130'!B13+'103.  Физкультурная 124А'!B13+#REF!+'105.  Физкультурная 126А'!B13+'106.  Физкультурная 126Б'!B13</f>
        <v>#VALUE!</v>
      </c>
      <c r="C13" s="123"/>
    </row>
    <row r="14" spans="1:5" ht="15">
      <c r="A14" s="40" t="s">
        <v>100</v>
      </c>
      <c r="B14" s="92" t="e">
        <f>'1.  Анкудинова 1 '!#REF!+'2.  Анкудинова 3'!C14+'3.  Анкудинова 5'!B14+'4.  Анкудинова 7'!B14+'5.  Анкудинова 9'!B14+'6.  Анкудинова 11'!B14+'7.  Анкудинова 13'!B14+#REF!+'9.  Анкудинова 17'!B14+'10.  Анкудинова 3Б'!B14+'11.  Анкудинова 5А'!B14+'12.  Анкудинова  11А '!B14+'13.  Анкудинова 17А '!B14+'14. Тихоокеанская 27'!B14+'15. Горького 12'!B14+'16. Горького 14'!B14+'17. Горького 16'!B14+'18. Горького 18'!B14+'19. Горького 20'!B14+'20. Горького 22'!B14+'21. Горького 14А'!B14+#REF!+'23. Комсомольская 165'!B14+'24. Комсомольская 167'!B14+'25. Комсомольская 169'!B14+#REF!+#REF!+'28.  Комсомольская 191'!B14+'29.  Комсомольская 193'!B14+'30.  Комсомольская 195'!B14+#REF!+'32. Комсомольская 167А'!B14+#REF!+#REF!+'35.  пр.Мира 157'!B14+'36.  пр .Мира 161'!B14+'37.  пр.Мира 163'!B14+'38. Мира 161-А'!B14+'39.  пр.Мира 163А '!B14+'40. Победы 4 '!B14+'41. Победы 6'!B14+'42. Победы 6-А-1'!B14+'42. Победы 6-Б'!B14+'43. Победы 8'!B14+'44. Победы 10'!B15+'45. Победы 10-Б'!B15+'46. Победы 12'!B14+'47. Победы 14'!B14+'48. Победы 16'!B14+'49. Победы 18'!B14+'50. Победы 26'!B14+'51. Победы 48'!B14+'52.  пр.Победы 50'!B14+#REF!+'54.  пр.Победы 12А '!B14+#REF!+#REF!+#REF!+#REF!+#REF!+#REF!+#REF!+'62.  Поповича 14'!B14+#REF!+#REF!+#REF!+#REF!+#REF!+'68.  Поповича 25 '!B14+#REF!+#REF!+'71.  Поповича 43'!B14+'72.  Поповича 45'!B14+'73.  Поповича 47'!B14+#REF!+#REF!+#REF!+#REF!+#REF!+#REF!+'80.  Поповича 18А'!B16+#REF!+#REF!+#REF!+#REF!+#REF!+#REF!+'87.  Поповича 20А'!B14+#REF!+#REF!+#REF!+'91.  Поповича 22А'!B14+#REF!+#REF!+'94.  Поповича 24А'!B14+'95.  Поповича 43А'!B14+'96.  Поповича 45А'!B14+#REF!+'98.  Физкультурная 122'!B14+'99.  Физкультурная 124'!B14+'100.  Физкультурная 126'!B14+'101.  Физкультурная 128'!B14+'102.  Физкультурная 130'!B14+'103.  Физкультурная 124А'!B14+#REF!+'105.  Физкультурная 126А'!B14+'106.  Физкультурная 126Б'!B14</f>
        <v>#REF!</v>
      </c>
      <c r="C14" s="123"/>
      <c r="E14" s="22"/>
    </row>
    <row r="15" spans="1:5" ht="15">
      <c r="A15" s="40" t="s">
        <v>85</v>
      </c>
      <c r="B15" s="92" t="e">
        <f>'1.  Анкудинова 1 '!#REF!+'2.  Анкудинова 3'!C15+'3.  Анкудинова 5'!B15+'4.  Анкудинова 7'!B15+'5.  Анкудинова 9'!B15+'6.  Анкудинова 11'!B15+'7.  Анкудинова 13'!B15+#REF!+'9.  Анкудинова 17'!B15+'10.  Анкудинова 3Б'!B15+'11.  Анкудинова 5А'!B15+'12.  Анкудинова  11А '!B15+'13.  Анкудинова 17А '!B15+'14. Тихоокеанская 27'!B15+'15. Горького 12'!B15+'16. Горького 14'!B15+'17. Горького 16'!B15+'18. Горького 18'!B15+'19. Горького 20'!B15+'20. Горького 22'!B15+'21. Горького 14А'!B15+#REF!+'23. Комсомольская 165'!B15+'24. Комсомольская 167'!B15+'25. Комсомольская 169'!B15+#REF!+#REF!+'28.  Комсомольская 191'!B15+'29.  Комсомольская 193'!B15+'30.  Комсомольская 195'!B15+#REF!+'32. Комсомольская 167А'!B15+#REF!+#REF!+'35.  пр.Мира 157'!B15+'36.  пр .Мира 161'!B15+'37.  пр.Мира 163'!B15+'38. Мира 161-А'!B15+'39.  пр.Мира 163А '!B15+'40. Победы 4 '!B15+'41. Победы 6'!B15+'42. Победы 6-А-1'!B15+'42. Победы 6-Б'!B15+'43. Победы 8'!B15+'44. Победы 10'!B16+'45. Победы 10-Б'!B16+'46. Победы 12'!B15+'47. Победы 14'!B15+'48. Победы 16'!B15+'49. Победы 18'!B15+'50. Победы 26'!B15+'51. Победы 48'!B15+'52.  пр.Победы 50'!B15+#REF!+'54.  пр.Победы 12А '!B15+#REF!+#REF!+#REF!+#REF!+#REF!+#REF!+#REF!+'62.  Поповича 14'!B15+#REF!+#REF!+#REF!+#REF!+#REF!+'68.  Поповича 25 '!B15+#REF!+#REF!+'71.  Поповича 43'!B15+'72.  Поповича 45'!B15+'73.  Поповича 47'!B15+#REF!+#REF!+#REF!+#REF!+#REF!+#REF!+'80.  Поповича 18А'!B17+#REF!+#REF!+#REF!+#REF!+#REF!+#REF!+'87.  Поповича 20А'!B15+#REF!+#REF!+#REF!+'91.  Поповича 22А'!B15+#REF!+#REF!+'94.  Поповича 24А'!B15+'95.  Поповича 43А'!B15+'96.  Поповича 45А'!B15+#REF!+'98.  Физкультурная 122'!B15+'99.  Физкультурная 124'!B15+'100.  Физкультурная 126'!B15+'101.  Физкультурная 128'!B15+'102.  Физкультурная 130'!B15+'103.  Физкультурная 124А'!B15+#REF!+'105.  Физкультурная 126А'!B15+'106.  Физкультурная 126Б'!B15</f>
        <v>#REF!</v>
      </c>
      <c r="C15" s="123" t="e">
        <f>'1.  Анкудинова 1 '!#REF!+'2.  Анкудинова 3'!D15+'3.  Анкудинова 5'!C15+'4.  Анкудинова 7'!C15+'5.  Анкудинова 9'!C15+'6.  Анкудинова 11'!C15+'7.  Анкудинова 13'!C15+#REF!+'9.  Анкудинова 17'!C15+'10.  Анкудинова 3Б'!C15+'11.  Анкудинова 5А'!C15+'12.  Анкудинова  11А '!C15+'13.  Анкудинова 17А '!C15+'14. Тихоокеанская 27'!C15+'15. Горького 12'!C15+'16. Горького 14'!C15+'17. Горького 16'!C15+'18. Горького 18'!C15+'19. Горького 20'!C15+'20. Горького 22'!C15+'21. Горького 14А'!C15+#REF!+'23. Комсомольская 165'!C15+'24. Комсомольская 167'!C15+'25. Комсомольская 169'!C15+#REF!+#REF!+'28.  Комсомольская 191'!C15+'29.  Комсомольская 193'!C15+'30.  Комсомольская 195'!C15+#REF!+'32. Комсомольская 167А'!C15+#REF!+#REF!+'35.  пр.Мира 157'!C15+'36.  пр .Мира 161'!C15+'37.  пр.Мира 163'!C15+'38. Мира 161-А'!C15+'39.  пр.Мира 163А '!C15+'40. Победы 4 '!C15+'41. Победы 6'!C15+'42. Победы 6-А-1'!C15+'42. Победы 6-Б'!C15+'43. Победы 8'!C15+'44. Победы 10'!C16+'45. Победы 10-Б'!C16+'46. Победы 12'!C15+'47. Победы 14'!C15+'48. Победы 16'!C15+'49. Победы 18'!C15+'50. Победы 26'!C15+'51. Победы 48'!C15+'52.  пр.Победы 50'!C15+#REF!+'54.  пр.Победы 12А '!C15+#REF!+#REF!+#REF!+#REF!+#REF!+#REF!+#REF!+'62.  Поповича 14'!C15+#REF!+#REF!+#REF!+#REF!+#REF!+'68.  Поповича 25 '!C15+#REF!+#REF!+'71.  Поповича 43'!C15+'72.  Поповича 45'!C15+'73.  Поповича 47'!C15+#REF!+#REF!+#REF!+#REF!+#REF!+#REF!+'80.  Поповича 18А'!C17+#REF!+#REF!+#REF!+#REF!+#REF!+#REF!+'87.  Поповича 20А'!C15+#REF!+#REF!+#REF!+'91.  Поповича 22А'!C15+#REF!+#REF!+'94.  Поповича 24А'!C15+'95.  Поповича 43А'!C15+'96.  Поповича 45А'!C15+#REF!+'98.  Физкультурная 122'!C15+'99.  Физкультурная 124'!C15+'100.  Физкультурная 126'!C15+'101.  Физкультурная 128'!C15+'102.  Физкультурная 130'!C15+'103.  Физкультурная 124А'!C15+#REF!+'105.  Физкультурная 126А'!C15+'106.  Физкультурная 126Б'!C15</f>
        <v>#REF!</v>
      </c>
    </row>
    <row r="16" spans="1:5" ht="15">
      <c r="A16" s="42" t="s">
        <v>2</v>
      </c>
      <c r="B16" s="92"/>
      <c r="C16" s="123" t="e">
        <f>'1.  Анкудинова 1 '!#REF!+'2.  Анкудинова 3'!D16+'3.  Анкудинова 5'!C16+'4.  Анкудинова 7'!C16+'5.  Анкудинова 9'!C16+'6.  Анкудинова 11'!C16+'7.  Анкудинова 13'!C16+#REF!+'9.  Анкудинова 17'!C16+'10.  Анкудинова 3Б'!C16+'11.  Анкудинова 5А'!C16+'12.  Анкудинова  11А '!C16+'13.  Анкудинова 17А '!C16+'14. Тихоокеанская 27'!C16+'15. Горького 12'!C16+'16. Горького 14'!C16+'17. Горького 16'!C16+'18. Горького 18'!C16+'19. Горького 20'!C16+'20. Горького 22'!C16+'21. Горького 14А'!C16+#REF!+'23. Комсомольская 165'!C16+'24. Комсомольская 167'!C16+'25. Комсомольская 169'!C16+#REF!+#REF!+'28.  Комсомольская 191'!C16+'29.  Комсомольская 193'!C16+'30.  Комсомольская 195'!C16+#REF!+'32. Комсомольская 167А'!C16+#REF!+#REF!+'35.  пр.Мира 157'!C16+'36.  пр .Мира 161'!C16+'37.  пр.Мира 163'!C16+'38. Мира 161-А'!C16+'39.  пр.Мира 163А '!C16+'40. Победы 4 '!C16+'41. Победы 6'!C16+'42. Победы 6-А-1'!C16+'42. Победы 6-Б'!C16+'43. Победы 8'!C16+'44. Победы 10'!C17+'45. Победы 10-Б'!C17+'46. Победы 12'!C16+'47. Победы 14'!C16+'48. Победы 16'!C16+'49. Победы 18'!C16+'50. Победы 26'!C16+'51. Победы 48'!C16+'52.  пр.Победы 50'!C16+#REF!+'54.  пр.Победы 12А '!C16+#REF!+#REF!+#REF!+#REF!+#REF!+#REF!+#REF!+'62.  Поповича 14'!C16+#REF!+#REF!+#REF!+#REF!+#REF!+'68.  Поповича 25 '!C16+#REF!+#REF!+'71.  Поповича 43'!C16+'72.  Поповича 45'!C16+'73.  Поповича 47'!C16+#REF!+#REF!+#REF!+#REF!+#REF!+#REF!+'80.  Поповича 18А'!C18+#REF!+#REF!+#REF!+#REF!+#REF!+#REF!+'87.  Поповича 20А'!C16+#REF!+#REF!+#REF!+'91.  Поповича 22А'!C16+#REF!+#REF!+'94.  Поповича 24А'!C16+'95.  Поповича 43А'!C16+'96.  Поповича 45А'!C16+#REF!+'98.  Физкультурная 122'!C16+'99.  Физкультурная 124'!C16+'100.  Физкультурная 126'!C16+'101.  Физкультурная 128'!C16+'102.  Физкультурная 130'!C16+'103.  Физкультурная 124А'!C16+#REF!+'105.  Физкультурная 126А'!C16+'106.  Физкультурная 126Б'!C16</f>
        <v>#REF!</v>
      </c>
    </row>
    <row r="17" spans="1:3" ht="15">
      <c r="A17" s="42" t="s">
        <v>63</v>
      </c>
      <c r="B17" s="92"/>
      <c r="C17" s="123" t="e">
        <f>'1.  Анкудинова 1 '!#REF!+'2.  Анкудинова 3'!D17+'3.  Анкудинова 5'!C17+'4.  Анкудинова 7'!C17+'5.  Анкудинова 9'!C17+'6.  Анкудинова 11'!C17+'7.  Анкудинова 13'!C17+#REF!+'9.  Анкудинова 17'!C17+'10.  Анкудинова 3Б'!C17+'11.  Анкудинова 5А'!C17+'12.  Анкудинова  11А '!C17+'13.  Анкудинова 17А '!C17+'14. Тихоокеанская 27'!C17+'15. Горького 12'!C17+'16. Горького 14'!C17+'17. Горького 16'!C17+'18. Горького 18'!C17+'19. Горького 20'!C17+'20. Горького 22'!C17+'21. Горького 14А'!C17+#REF!+'23. Комсомольская 165'!C17+'24. Комсомольская 167'!C17+'25. Комсомольская 169'!C17+#REF!+#REF!+'28.  Комсомольская 191'!C17+'29.  Комсомольская 193'!C17+'30.  Комсомольская 195'!C17+#REF!+'32. Комсомольская 167А'!C17+#REF!+#REF!+'35.  пр.Мира 157'!C17+'36.  пр .Мира 161'!C17+'37.  пр.Мира 163'!C17+'38. Мира 161-А'!C17+'39.  пр.Мира 163А '!C17+'40. Победы 4 '!C17+'41. Победы 6'!C17+'42. Победы 6-А-1'!C17+'42. Победы 6-Б'!C17+'43. Победы 8'!C17+'44. Победы 10'!C18+'45. Победы 10-Б'!C18+'46. Победы 12'!C17+'47. Победы 14'!C17+'48. Победы 16'!C17+'49. Победы 18'!C17+'50. Победы 26'!C17+'51. Победы 48'!C17+'52.  пр.Победы 50'!C17+#REF!+'54.  пр.Победы 12А '!C17+#REF!+#REF!+#REF!+#REF!+#REF!+#REF!+#REF!+'62.  Поповича 14'!C17+#REF!+#REF!+#REF!+#REF!+#REF!+'68.  Поповича 25 '!C17+#REF!+#REF!+'71.  Поповича 43'!C17+'72.  Поповича 45'!C17+'73.  Поповича 47'!C17+#REF!+#REF!+#REF!+#REF!+#REF!+#REF!+'80.  Поповича 18А'!C19+#REF!+#REF!+#REF!+#REF!+#REF!+#REF!+'87.  Поповича 20А'!C17+#REF!+#REF!+#REF!+'91.  Поповича 22А'!C17+#REF!+#REF!+'94.  Поповича 24А'!C17+'95.  Поповича 43А'!C17+'96.  Поповича 45А'!C17+#REF!+'98.  Физкультурная 122'!C17+'99.  Физкультурная 124'!C17+'100.  Физкультурная 126'!C17+'101.  Физкультурная 128'!C17+'102.  Физкультурная 130'!C17+'103.  Физкультурная 124А'!C17+#REF!+'105.  Физкультурная 126А'!C17+'106.  Физкультурная 126Б'!C17</f>
        <v>#REF!</v>
      </c>
    </row>
    <row r="18" spans="1:3" ht="14.25">
      <c r="A18" s="93" t="s">
        <v>83</v>
      </c>
      <c r="B18" s="92" t="e">
        <f>'1.  Анкудинова 1 '!#REF!+'2.  Анкудинова 3'!C18+'3.  Анкудинова 5'!B18+'4.  Анкудинова 7'!B18+'5.  Анкудинова 9'!B18+'6.  Анкудинова 11'!B18+'7.  Анкудинова 13'!B18+#REF!+'9.  Анкудинова 17'!B18+'10.  Анкудинова 3Б'!B18+'11.  Анкудинова 5А'!B18+'12.  Анкудинова  11А '!B18+'13.  Анкудинова 17А '!B18+'14. Тихоокеанская 27'!B18+'15. Горького 12'!B18+'16. Горького 14'!B18+'17. Горького 16'!B18+'18. Горького 18'!B18+'19. Горького 20'!B18+'20. Горького 22'!B18+'21. Горького 14А'!B18+#REF!+'23. Комсомольская 165'!B18+'24. Комсомольская 167'!B18+'25. Комсомольская 169'!B18+#REF!+#REF!+'28.  Комсомольская 191'!B18+'29.  Комсомольская 193'!B18+'30.  Комсомольская 195'!B18+#REF!+'32. Комсомольская 167А'!B18+#REF!+#REF!+'35.  пр.Мира 157'!B18+'36.  пр .Мира 161'!B18+'37.  пр.Мира 163'!B18+'38. Мира 161-А'!B18+'39.  пр.Мира 163А '!B18+'40. Победы 4 '!B18+'41. Победы 6'!B18+'42. Победы 6-А-1'!B18+'42. Победы 6-Б'!B18+'43. Победы 8'!B18+'44. Победы 10'!B19+'45. Победы 10-Б'!B19+'46. Победы 12'!B18+'47. Победы 14'!B18+'48. Победы 16'!B18+'49. Победы 18'!B18+'50. Победы 26'!B18+'51. Победы 48'!B18+'52.  пр.Победы 50'!B18+#REF!+'54.  пр.Победы 12А '!B18+#REF!+#REF!+#REF!+#REF!+#REF!+#REF!+#REF!+'62.  Поповича 14'!B18+#REF!+#REF!+#REF!+#REF!+#REF!+'68.  Поповича 25 '!B18+#REF!+#REF!+'71.  Поповича 43'!B18+'72.  Поповича 45'!B18+'73.  Поповича 47'!B18+#REF!+#REF!+#REF!+#REF!+#REF!+#REF!+'80.  Поповича 18А'!B20+#REF!+#REF!+#REF!+#REF!+#REF!+#REF!+'87.  Поповича 20А'!B18+#REF!+#REF!+#REF!+'91.  Поповича 22А'!B18+#REF!+#REF!+'94.  Поповича 24А'!B18+'95.  Поповича 43А'!B18+'96.  Поповича 45А'!B18+#REF!+'98.  Физкультурная 122'!B18+'99.  Физкультурная 124'!B18+'100.  Физкультурная 126'!B18+'101.  Физкультурная 128'!B18+'102.  Физкультурная 130'!B18+'103.  Физкультурная 124А'!B18+#REF!+'105.  Физкультурная 126А'!B18+'106.  Физкультурная 126Б'!B18</f>
        <v>#REF!</v>
      </c>
      <c r="C18" s="123"/>
    </row>
    <row r="19" spans="1:3" ht="14.25">
      <c r="A19" s="93" t="s">
        <v>92</v>
      </c>
      <c r="B19" s="92" t="e">
        <f>'1.  Анкудинова 1 '!#REF!+'2.  Анкудинова 3'!C19+'3.  Анкудинова 5'!B19+'4.  Анкудинова 7'!B19+'5.  Анкудинова 9'!B19+'6.  Анкудинова 11'!B19+'7.  Анкудинова 13'!B19+#REF!+'9.  Анкудинова 17'!B19+'10.  Анкудинова 3Б'!B19+'11.  Анкудинова 5А'!B19+'12.  Анкудинова  11А '!B19+'13.  Анкудинова 17А '!B19+'14. Тихоокеанская 27'!B19+'15. Горького 12'!B19+'16. Горького 14'!B19+'17. Горького 16'!B19+'18. Горького 18'!B19+'19. Горького 20'!B19+'20. Горького 22'!B19+'21. Горького 14А'!B19+#REF!+'23. Комсомольская 165'!B19+'24. Комсомольская 167'!B19+'25. Комсомольская 169'!B19+#REF!+#REF!+'28.  Комсомольская 191'!B19+'29.  Комсомольская 193'!B19+'30.  Комсомольская 195'!B19+#REF!+'32. Комсомольская 167А'!B19+#REF!+#REF!+'35.  пр.Мира 157'!B19+'36.  пр .Мира 161'!B19+'37.  пр.Мира 163'!B19+'38. Мира 161-А'!B19+'39.  пр.Мира 163А '!B19+'40. Победы 4 '!B19+'41. Победы 6'!B19+'42. Победы 6-А-1'!B19+'42. Победы 6-Б'!B19+'43. Победы 8'!B19+'44. Победы 10'!B20+'45. Победы 10-Б'!B20+'46. Победы 12'!B19+'47. Победы 14'!B19+'48. Победы 16'!B19+'49. Победы 18'!B19+'50. Победы 26'!B19+'51. Победы 48'!B19+'52.  пр.Победы 50'!B19+#REF!+'54.  пр.Победы 12А '!B19+#REF!+#REF!+#REF!+#REF!+#REF!+#REF!+#REF!+'62.  Поповича 14'!B19+#REF!+#REF!+#REF!+#REF!+#REF!+'68.  Поповича 25 '!B19+#REF!+#REF!+'71.  Поповича 43'!B19+'72.  Поповича 45'!B19+'73.  Поповича 47'!B19+#REF!+#REF!+#REF!+#REF!+#REF!+#REF!+'80.  Поповича 18А'!B21+#REF!+#REF!+#REF!+#REF!+#REF!+#REF!+'87.  Поповича 20А'!B19+#REF!+#REF!+#REF!+'91.  Поповича 22А'!B19+#REF!+#REF!+'94.  Поповича 24А'!B19+'95.  Поповича 43А'!B19+'96.  Поповича 45А'!B19+#REF!+'98.  Физкультурная 122'!B19+'99.  Физкультурная 124'!B19+'100.  Физкультурная 126'!B19+'101.  Физкультурная 128'!B19+'102.  Физкультурная 130'!B19+'103.  Физкультурная 124А'!B19+#REF!+'105.  Физкультурная 126А'!B19+'106.  Физкультурная 126Б'!B19</f>
        <v>#REF!</v>
      </c>
      <c r="C19" s="123"/>
    </row>
    <row r="20" spans="1:3" ht="15">
      <c r="A20" s="62" t="s">
        <v>58</v>
      </c>
      <c r="B20" s="44"/>
      <c r="C20" s="45"/>
    </row>
    <row r="21" spans="1:3" ht="15" customHeight="1">
      <c r="A21" s="52" t="s">
        <v>51</v>
      </c>
      <c r="B21" s="51"/>
      <c r="C21" s="100" t="e">
        <f>'1.  Анкудинова 1 '!#REF!+'2.  Анкудинова 3'!D39+'3.  Анкудинова 5'!C36+'4.  Анкудинова 7'!C38+'5.  Анкудинова 9'!C37+'6.  Анкудинова 11'!C38+'7.  Анкудинова 13'!C38+#REF!+'9.  Анкудинова 17'!C39+'10.  Анкудинова 3Б'!C40+'11.  Анкудинова 5А'!C39+'12.  Анкудинова  11А '!C38+'13.  Анкудинова 17А '!C38+'14. Тихоокеанская 27'!C39+'15. Горького 12'!C38+'16. Горького 14'!C38+'17. Горького 16'!C38+'18. Горького 18'!C38+'19. Горького 20'!C38+'20. Горького 22'!C37+'21. Горького 14А'!C39+#REF!+'23. Комсомольская 165'!C38+'24. Комсомольская 167'!C38+'25. Комсомольская 169'!C39+#REF!+#REF!+'28.  Комсомольская 191'!C40+'29.  Комсомольская 193'!C39+'30.  Комсомольская 195'!C43+#REF!+'32. Комсомольская 167А'!C39+#REF!+#REF!+'35.  пр.Мира 157'!C39+'36.  пр .Мира 161'!C37+'37.  пр.Мира 163'!C39+'38. Мира 161-А'!C37+'39.  пр.Мира 163А '!C36+'40. Победы 4 '!C40+'41. Победы 6'!C38+'42. Победы 6-А-1'!C37+'42. Победы 6-Б'!C36+'43. Победы 8'!C37+'44. Победы 10'!C38+'45. Победы 10-Б'!C40+'46. Победы 12'!C38+'47. Победы 14'!C38+'48. Победы 16'!C38+'49. Победы 18'!C38+'50. Победы 26'!C38+'51. Победы 48'!C36+'52.  пр.Победы 50'!C36+#REF!+'54.  пр.Победы 12А '!C37+#REF!+#REF!+#REF!+#REF!+#REF!+#REF!+#REF!+'62.  Поповича 14'!C39+#REF!+#REF!+#REF!+#REF!+#REF!+'68.  Поповича 25 '!C40+#REF!+#REF!+'71.  Поповича 43'!C36+'72.  Поповича 45'!C37+'73.  Поповича 47'!C36+#REF!+#REF!+#REF!+#REF!+#REF!+#REF!+'80.  Поповича 18А'!C41+#REF!+#REF!+#REF!+#REF!+#REF!+#REF!+'87.  Поповича 20А'!C38+#REF!+#REF!+#REF!+'91.  Поповича 22А'!C39+#REF!+#REF!+'94.  Поповича 24А'!C36+'95.  Поповича 43А'!C37+'96.  Поповича 45А'!C37+#REF!+'98.  Физкультурная 122'!C36+'99.  Физкультурная 124'!C37+'100.  Физкультурная 126'!C36+'101.  Физкультурная 128'!C37+'102.  Физкультурная 130'!C37+'103.  Физкультурная 124А'!C36+#REF!+'105.  Физкультурная 126А'!C37+'106.  Физкультурная 126Б'!C34</f>
        <v>#REF!</v>
      </c>
    </row>
    <row r="22" spans="1:3" ht="15">
      <c r="A22" s="56" t="s">
        <v>52</v>
      </c>
      <c r="B22" s="53"/>
      <c r="C22" s="54"/>
    </row>
    <row r="23" spans="1:3" ht="15.75" thickBot="1">
      <c r="A23" s="50" t="s">
        <v>53</v>
      </c>
      <c r="B23" s="51"/>
      <c r="C23" s="114" t="e">
        <f>'1.  Анкудинова 1 '!#REF!+'2.  Анкудинова 3'!D41+'3.  Анкудинова 5'!C38+'4.  Анкудинова 7'!C40+'5.  Анкудинова 9'!C39+'6.  Анкудинова 11'!C40+'7.  Анкудинова 13'!C40+#REF!+'9.  Анкудинова 17'!C41+'10.  Анкудинова 3Б'!C42+'11.  Анкудинова 5А'!C41+'12.  Анкудинова  11А '!C40+'13.  Анкудинова 17А '!C40+'14. Тихоокеанская 27'!C41+'15. Горького 12'!C40+'16. Горького 14'!C40+'17. Горького 16'!C40+'18. Горького 18'!C40+'19. Горького 20'!C40+'20. Горького 22'!C39+'21. Горького 14А'!C41+#REF!+'23. Комсомольская 165'!C40+'24. Комсомольская 167'!C40+'25. Комсомольская 169'!C41+#REF!+#REF!+'28.  Комсомольская 191'!C42+'29.  Комсомольская 193'!C41+'30.  Комсомольская 195'!C46+#REF!+'32. Комсомольская 167А'!C41+#REF!+#REF!+'35.  пр.Мира 157'!C41+'36.  пр .Мира 161'!C39+'37.  пр.Мира 163'!C41+'38. Мира 161-А'!C39+'39.  пр.Мира 163А '!C38+'40. Победы 4 '!C42+'41. Победы 6'!C40+'42. Победы 6-А-1'!C39+'42. Победы 6-Б'!C38+'43. Победы 8'!C39+'44. Победы 10'!C40+'45. Победы 10-Б'!C42+'46. Победы 12'!C40+'47. Победы 14'!C40+'48. Победы 16'!C40+'49. Победы 18'!C40+'50. Победы 26'!C40+'51. Победы 48'!C38+'52.  пр.Победы 50'!C38+#REF!+'54.  пр.Победы 12А '!C39+#REF!+#REF!+#REF!+#REF!+#REF!+#REF!+#REF!+'62.  Поповича 14'!C41+#REF!+#REF!+#REF!+#REF!+#REF!+'68.  Поповича 25 '!C42+#REF!+#REF!+'71.  Поповича 43'!C38+'72.  Поповича 45'!C39+'73.  Поповича 47'!C38+#REF!+#REF!+#REF!+#REF!+#REF!+#REF!+'80.  Поповича 18А'!C44+#REF!+#REF!+#REF!+#REF!+#REF!+#REF!+'87.  Поповича 20А'!C40+#REF!+#REF!+#REF!+'91.  Поповича 22А'!C41+#REF!+#REF!+'94.  Поповича 24А'!C38+'95.  Поповича 43А'!C39+'96.  Поповича 45А'!C39+#REF!+'98.  Физкультурная 122'!C38+'99.  Физкультурная 124'!C39+'100.  Физкультурная 126'!C38+'101.  Физкультурная 128'!C39+'102.  Физкультурная 130'!C39+'103.  Физкультурная 124А'!C38+#REF!+'105.  Физкультурная 126А'!C39+'106.  Физкультурная 126Б'!C36</f>
        <v>#REF!</v>
      </c>
    </row>
    <row r="24" spans="1:3" ht="15.75" thickBot="1">
      <c r="A24" s="50" t="s">
        <v>43</v>
      </c>
      <c r="B24" s="51"/>
      <c r="C24" s="114" t="e">
        <f>'1.  Анкудинова 1 '!D35+'2.  Анкудинова 3'!D51+'3.  Анкудинова 5'!C45+'4.  Анкудинова 7'!C48+'5.  Анкудинова 9'!C48+'6.  Анкудинова 11'!C50+'7.  Анкудинова 13'!C46+#REF!+'9.  Анкудинова 17'!C50+'10.  Анкудинова 3Б'!C46+'11.  Анкудинова 5А'!C48+'12.  Анкудинова  11А '!C48+'13.  Анкудинова 17А '!C48+'14. Тихоокеанская 27'!C47+'15. Горького 12'!C49+'16. Горького 14'!C49+'17. Горького 16'!C47+'18. Горького 18'!C51+'19. Горького 20'!C50+'20. Горького 22'!C46+'21. Горького 14А'!C52+#REF!+'23. Комсомольская 165'!C50+'24. Комсомольская 167'!C50+'25. Комсомольская 169'!C45+#REF!+#REF!+'28.  Комсомольская 191'!C49+'29.  Комсомольская 193'!C50+'30.  Комсомольская 195'!C52+#REF!+'32. Комсомольская 167А'!C51+#REF!+#REF!+'35.  пр.Мира 157'!C50+'36.  пр .Мира 161'!C46+'37.  пр.Мира 163'!C49+'38. Мира 161-А'!C44+'39.  пр.Мира 163А '!C46+'40. Победы 4 '!C53+'41. Победы 6'!C50+'42. Победы 6-А-1'!C45+'42. Победы 6-Б'!C44+'43. Победы 8'!C48+'44. Победы 10'!C50+'45. Победы 10-Б'!C49+'46. Победы 12'!C48+'47. Победы 14'!C48+'48. Победы 16'!C47+'49. Победы 18'!C47+'50. Победы 26'!C47+'51. Победы 48'!C44+'52.  пр.Победы 50'!C44+#REF!+'54.  пр.Победы 12А '!C48+#REF!+#REF!+#REF!+#REF!+#REF!+#REF!+#REF!+'62.  Поповича 14'!C48+#REF!+#REF!+#REF!+#REF!+#REF!+'68.  Поповича 25 '!C52+#REF!+#REF!+'71.  Поповича 43'!C46+'72.  Поповича 45'!C48+'73.  Поповича 47'!C45+#REF!+#REF!+#REF!+#REF!+#REF!+#REF!+'80.  Поповича 18А'!C50+#REF!+#REF!+#REF!+#REF!+#REF!+#REF!+'87.  Поповича 20А'!C48+#REF!+#REF!+#REF!+'91.  Поповича 22А'!C49+#REF!+#REF!+'94.  Поповича 24А'!C44+'95.  Поповича 43А'!C45+'96.  Поповича 45А'!C47+#REF!+'98.  Физкультурная 122'!C45+'99.  Физкультурная 124'!C47+'100.  Физкультурная 126'!C46+'101.  Физкультурная 128'!C46+'102.  Физкультурная 130'!C47+'103.  Физкультурная 124А'!C45+#REF!+'105.  Физкультурная 126А'!C46+'106.  Физкультурная 126Б'!C40</f>
        <v>#REF!</v>
      </c>
    </row>
    <row r="25" spans="1:3" ht="15.75" thickBot="1">
      <c r="A25" s="50" t="s">
        <v>38</v>
      </c>
      <c r="B25" s="55"/>
      <c r="C25" s="114" t="e">
        <f>'1.  Анкудинова 1 '!D37+'2.  Анкудинова 3'!D58+'3.  Анкудинова 5'!C53+'4.  Анкудинова 7'!C54+'5.  Анкудинова 9'!C55+'6.  Анкудинова 11'!C57+'7.  Анкудинова 13'!C52+#REF!+'9.  Анкудинова 17'!C57+'10.  Анкудинова 3Б'!C52+'11.  Анкудинова 5А'!C53+'12.  Анкудинова  11А '!C56+'13.  Анкудинова 17А '!C54+'14. Тихоокеанская 27'!C54+'15. Горького 12'!C58+'16. Горького 14'!C59+'17. Горького 16'!C54+'18. Горького 18'!C57+'19. Горького 20'!C57+'20. Горького 22'!C53+'21. Горького 14А'!C58+#REF!+'23. Комсомольская 165'!C56+'24. Комсомольская 167'!C56+'25. Комсомольская 169'!C51+#REF!+#REF!+'28.  Комсомольская 191'!C55+'29.  Комсомольская 193'!C55+'30.  Комсомольская 195'!C58+#REF!+'32. Комсомольская 167А'!C59+#REF!+#REF!+'35.  пр.Мира 157'!C55+'36.  пр .Мира 161'!C53+'37.  пр.Мира 163'!C55+'38. Мира 161-А'!C49+'39.  пр.Мира 163А '!C53+'40. Победы 4 '!C60+'41. Победы 6'!C56+'42. Победы 6-А-1'!C50+'42. Победы 6-Б'!C50+'43. Победы 8'!C55+'44. Победы 10'!C55+'45. Победы 10-Б'!C53+'46. Победы 12'!C54+'47. Победы 14'!C54+'48. Победы 16'!C52+'49. Победы 18'!C57+'50. Победы 26'!C54+'51. Победы 48'!C49+'52.  пр.Победы 50'!C50+#REF!+'54.  пр.Победы 12А '!C55+#REF!+#REF!+#REF!+#REF!+#REF!+#REF!+#REF!+'62.  Поповича 14'!C55+#REF!+#REF!+#REF!+#REF!+#REF!+'68.  Поповича 25 '!C60+#REF!+#REF!+'71.  Поповича 43'!C51+'72.  Поповича 45'!C55+'73.  Поповича 47'!C52+#REF!+#REF!+#REF!+#REF!+#REF!+#REF!+'80.  Поповича 18А'!C57+#REF!+#REF!+#REF!+#REF!+#REF!+#REF!+'87.  Поповича 20А'!C55+#REF!+#REF!+#REF!+'91.  Поповича 22А'!C56+#REF!+#REF!+'94.  Поповича 24А'!C52+'95.  Поповича 43А'!C52+'96.  Поповича 45А'!C53+#REF!+'98.  Физкультурная 122'!C49+'99.  Физкультурная 124'!C51+'100.  Физкультурная 126'!C51+'101.  Физкультурная 128'!C52+'102.  Физкультурная 130'!C53+'103.  Физкультурная 124А'!C50+#REF!+'105.  Физкультурная 126А'!C51+'106.  Физкультурная 126Б'!C45</f>
        <v>#REF!</v>
      </c>
    </row>
    <row r="26" spans="1:3" ht="15.75" thickBot="1">
      <c r="A26" s="111" t="s">
        <v>51</v>
      </c>
      <c r="B26" s="60"/>
      <c r="C26" s="114" t="e">
        <f>'1.  Анкудинова 1 '!D44+'2.  Анкудинова 3'!D62+'3.  Анкудинова 5'!C56+'4.  Анкудинова 7'!C56+'5.  Анкудинова 9'!C59+'6.  Анкудинова 11'!C61+'7.  Анкудинова 13'!C55+#REF!+'9.  Анкудинова 17'!C62+'10.  Анкудинова 3Б'!C55+'11.  Анкудинова 5А'!C56+'12.  Анкудинова  11А '!C59+'13.  Анкудинова 17А '!C57+'14. Тихоокеанская 27'!C58+'15. Горького 12'!C63+'16. Горького 14'!C63+'17. Горького 16'!C57+'18. Горького 18'!C60+'19. Горького 20'!C61+'20. Горького 22'!C56+'21. Горького 14А'!C62+#REF!+'23. Комсомольская 165'!C60+'24. Комсомольская 167'!C59+'25. Комсомольская 169'!C54+#REF!+#REF!+'28.  Комсомольская 191'!C58+'29.  Комсомольская 193'!C58+'30.  Комсомольская 195'!C61+#REF!+'32. Комсомольская 167А'!C62+#REF!+#REF!+'35.  пр.Мира 157'!C59+'36.  пр .Мира 161'!C57+'37.  пр.Мира 163'!C59+'38. Мира 161-А'!C52+'39.  пр.Мира 163А '!C56+'40. Победы 4 '!C65+'41. Победы 6'!C60+'42. Победы 6-А-1'!C53+'42. Победы 6-Б'!C52+'43. Победы 8'!C59+'44. Победы 10'!C59+'45. Победы 10-Б'!C57+'46. Победы 12'!C58+'47. Победы 14'!C58+'48. Победы 16'!C55+'49. Победы 18'!C60+'50. Победы 26'!C58+'51. Победы 48'!C51+'52.  пр.Победы 50'!C54+#REF!+'54.  пр.Победы 12А '!C58+#REF!+#REF!+#REF!+#REF!+#REF!+#REF!+#REF!+'62.  Поповича 14'!C59+#REF!+#REF!+#REF!+#REF!+#REF!+'68.  Поповича 25 '!C63+#REF!+#REF!+'71.  Поповича 43'!C53+'72.  Поповича 45'!C59+'73.  Поповича 47'!C54+#REF!+#REF!+#REF!+#REF!+#REF!+#REF!+'80.  Поповича 18А'!C61+#REF!+#REF!+#REF!+#REF!+#REF!+#REF!+'87.  Поповича 20А'!C58+#REF!+#REF!+#REF!+'91.  Поповича 22А'!C59+#REF!+#REF!+'94.  Поповича 24А'!C54+'95.  Поповича 43А'!C56+'96.  Поповича 45А'!C56+#REF!+'98.  Физкультурная 122'!C52+'99.  Физкультурная 124'!C54+'100.  Физкультурная 126'!C54+'101.  Физкультурная 128'!C55+'102.  Физкультурная 130'!C55+'103.  Физкультурная 124А'!C53+#REF!+'105.  Физкультурная 126А'!C53+'106.  Физкультурная 126Б'!C47</f>
        <v>#REF!</v>
      </c>
    </row>
    <row r="27" spans="1:3" ht="30.75" thickBot="1">
      <c r="A27" s="99" t="s">
        <v>0</v>
      </c>
      <c r="B27" s="116" t="s">
        <v>1</v>
      </c>
      <c r="C27" s="114" t="e">
        <f>'1.  Анкудинова 1 '!#REF!+'2.  Анкудинова 3'!D63+'3.  Анкудинова 5'!C57+'4.  Анкудинова 7'!C57+'5.  Анкудинова 9'!C60+'6.  Анкудинова 11'!C62+'7.  Анкудинова 13'!C56+#REF!+'9.  Анкудинова 17'!C63+'10.  Анкудинова 3Б'!C56+'11.  Анкудинова 5А'!C57+'12.  Анкудинова  11А '!C60+'13.  Анкудинова 17А '!C58+'14. Тихоокеанская 27'!C59+'15. Горького 12'!C64+'16. Горького 14'!C64+'17. Горького 16'!C58+'18. Горького 18'!C61+'19. Горького 20'!C62+'20. Горького 22'!C57+'21. Горького 14А'!C63+#REF!+'23. Комсомольская 165'!C61+'24. Комсомольская 167'!C60+'25. Комсомольская 169'!C55+#REF!+#REF!+'28.  Комсомольская 191'!C59+'29.  Комсомольская 193'!C59+'30.  Комсомольская 195'!C62+#REF!+'32. Комсомольская 167А'!C63+#REF!+#REF!+'35.  пр.Мира 157'!C60+'36.  пр .Мира 161'!C58+'37.  пр.Мира 163'!C60+'38. Мира 161-А'!C53+'39.  пр.Мира 163А '!C57+'40. Победы 4 '!C66+'41. Победы 6'!C61+'42. Победы 6-А-1'!C54+'42. Победы 6-Б'!C53+'43. Победы 8'!C60+'44. Победы 10'!C60+'45. Победы 10-Б'!C58+'46. Победы 12'!C59+'47. Победы 14'!C59+'48. Победы 16'!C56+'49. Победы 18'!C61+'50. Победы 26'!C59+'51. Победы 48'!C52+'52.  пр.Победы 50'!C55+#REF!+'54.  пр.Победы 12А '!C59+#REF!+#REF!+#REF!+#REF!+#REF!+#REF!+#REF!+'62.  Поповича 14'!C60+#REF!+#REF!+#REF!+#REF!+#REF!+'68.  Поповича 25 '!C64+#REF!+#REF!+'71.  Поповича 43'!C54+'72.  Поповича 45'!C60+'73.  Поповича 47'!C55+#REF!+#REF!+#REF!+#REF!+#REF!+#REF!+'80.  Поповича 18А'!C62+#REF!+#REF!+#REF!+#REF!+#REF!+#REF!+'87.  Поповича 20А'!C59+#REF!+#REF!+#REF!+'91.  Поповича 22А'!C60+#REF!+#REF!+'94.  Поповича 24А'!C55+'95.  Поповича 43А'!C57+'96.  Поповича 45А'!C57+#REF!+'98.  Физкультурная 122'!C53+'99.  Физкультурная 124'!C55+'100.  Физкультурная 126'!C55+'101.  Физкультурная 128'!C56+'102.  Физкультурная 130'!C56+'103.  Физкультурная 124А'!C54+#REF!+'105.  Физкультурная 126А'!C54+'106.  Физкультурная 126Б'!C48</f>
        <v>#REF!</v>
      </c>
    </row>
    <row r="28" spans="1:3" ht="60.75" thickBot="1">
      <c r="A28" s="115" t="s">
        <v>88</v>
      </c>
      <c r="B28" s="116" t="s">
        <v>1</v>
      </c>
      <c r="C28" s="120" t="e">
        <f>'1.  Анкудинова 1 '!#REF!+'2.  Анкудинова 3'!D64+'3.  Анкудинова 5'!C58+'4.  Анкудинова 7'!C58+'5.  Анкудинова 9'!C61+'6.  Анкудинова 11'!C63+'7.  Анкудинова 13'!C57+#REF!+'9.  Анкудинова 17'!C64+'10.  Анкудинова 3Б'!C57+'11.  Анкудинова 5А'!C58+'12.  Анкудинова  11А '!C61+'13.  Анкудинова 17А '!C59+'14. Тихоокеанская 27'!C60+'15. Горького 12'!C65+'16. Горького 14'!C65+'17. Горького 16'!C59+'18. Горького 18'!C62+'19. Горького 20'!C63+'20. Горького 22'!C58+'21. Горького 14А'!C64+#REF!+'23. Комсомольская 165'!C62+'24. Комсомольская 167'!C61+'25. Комсомольская 169'!C56+#REF!+#REF!+'28.  Комсомольская 191'!C60+'29.  Комсомольская 193'!C60+'30.  Комсомольская 195'!C63+#REF!+'32. Комсомольская 167А'!C64+#REF!+#REF!+'35.  пр.Мира 157'!C61+'36.  пр .Мира 161'!C59+'37.  пр.Мира 163'!C61+'38. Мира 161-А'!C54+'39.  пр.Мира 163А '!C58+'40. Победы 4 '!C67+'41. Победы 6'!C62+'42. Победы 6-Б'!C54+'43. Победы 8'!C61+'44. Победы 10'!C61+'45. Победы 10-Б'!C59+'46. Победы 12'!C60+'47. Победы 14'!C60+'48. Победы 16'!C57+'49. Победы 18'!C62+'50. Победы 26'!C60+'51. Победы 48'!C53+'52.  пр.Победы 50'!C56+#REF!+'54.  пр.Победы 12А '!C60+#REF!+#REF!+#REF!+#REF!+#REF!+#REF!+#REF!+'62.  Поповича 14'!C61+#REF!+#REF!+#REF!+#REF!+#REF!+'68.  Поповича 25 '!C65+#REF!+#REF!+'71.  Поповича 43'!C55+'72.  Поповича 45'!C61+'73.  Поповича 47'!C56+#REF!+#REF!+#REF!+#REF!+#REF!+#REF!+'80.  Поповича 18А'!C63+#REF!+#REF!+#REF!+#REF!+#REF!+#REF!+'87.  Поповича 20А'!C60+#REF!+#REF!+#REF!+'91.  Поповича 22А'!C61+#REF!+#REF!+'94.  Поповича 24А'!C56+'95.  Поповича 43А'!C58+'96.  Поповича 45А'!C58+#REF!+'98.  Физкультурная 122'!C54+'99.  Физкультурная 124'!C56+'100.  Физкультурная 126'!C56+'101.  Физкультурная 128'!C57+'102.  Физкультурная 130'!C57+'103.  Физкультурная 124А'!C55+#REF!+'105.  Физкультурная 126А'!C55+'106.  Физкультурная 126Б'!C49+'42. Победы 6-А-1'!C55</f>
        <v>#REF!</v>
      </c>
    </row>
    <row r="29" spans="1:3" ht="15.75" thickBot="1">
      <c r="A29" s="112" t="s">
        <v>39</v>
      </c>
      <c r="B29" s="113"/>
      <c r="C29" s="114" t="e">
        <f>'1.  Анкудинова 1 '!#REF!+'2.  Анкудинова 3'!D65+'3.  Анкудинова 5'!C59+'4.  Анкудинова 7'!C59+'5.  Анкудинова 9'!C62+'6.  Анкудинова 11'!C64+'7.  Анкудинова 13'!C58+#REF!+'9.  Анкудинова 17'!C65+'10.  Анкудинова 3Б'!C58+'11.  Анкудинова 5А'!C59+'12.  Анкудинова  11А '!C62+'13.  Анкудинова 17А '!C60+'14. Тихоокеанская 27'!C61+'15. Горького 12'!C66+'16. Горького 14'!C66+'17. Горького 16'!C60+'18. Горького 18'!C63+'19. Горького 20'!C64+'20. Горького 22'!C59+'21. Горького 14А'!C65+#REF!+'23. Комсомольская 165'!C63+'24. Комсомольская 167'!C62+'25. Комсомольская 169'!C57+#REF!+#REF!+'28.  Комсомольская 191'!C61+'29.  Комсомольская 193'!C61+'30.  Комсомольская 195'!C64+#REF!+'32. Комсомольская 167А'!C65+#REF!+#REF!+'35.  пр.Мира 157'!C62+'36.  пр .Мира 161'!C60+'37.  пр.Мира 163'!C62+'38. Мира 161-А'!C55+'39.  пр.Мира 163А '!C59+'40. Победы 4 '!C68+'41. Победы 6'!C63+'42. Победы 6-Б'!C55+'43. Победы 8'!C62+'44. Победы 10'!C62+'45. Победы 10-Б'!C60+'46. Победы 12'!C61+'47. Победы 14'!C61+'48. Победы 16'!C58+'49. Победы 18'!C63+'50. Победы 26'!C61+'51. Победы 48'!C54+'52.  пр.Победы 50'!C57+#REF!+'54.  пр.Победы 12А '!C61+#REF!+#REF!+#REF!+#REF!+#REF!+#REF!+#REF!+'62.  Поповича 14'!C62+#REF!+#REF!+#REF!+#REF!+#REF!+'68.  Поповича 25 '!C66+#REF!+#REF!+'71.  Поповича 43'!C56+'72.  Поповича 45'!C62+'73.  Поповича 47'!C57+#REF!+#REF!+#REF!+#REF!+#REF!+#REF!+'80.  Поповича 18А'!C64+#REF!+#REF!+#REF!+#REF!+#REF!+#REF!+'87.  Поповича 20А'!C61+#REF!+#REF!+#REF!+'91.  Поповича 22А'!C62+#REF!+#REF!+'94.  Поповича 24А'!C57+'95.  Поповича 43А'!C59+'96.  Поповича 45А'!C59+#REF!+'98.  Физкультурная 122'!C55+'99.  Физкультурная 124'!C57+'100.  Физкультурная 126'!C57+'101.  Физкультурная 128'!C58+'102.  Физкультурная 130'!C58+'103.  Физкультурная 124А'!C56+#REF!+'105.  Физкультурная 126А'!C56+'106.  Физкультурная 126Б'!C50+'42. Победы 6-А-1'!C56</f>
        <v>#REF!</v>
      </c>
    </row>
    <row r="30" spans="1:3" ht="20.25">
      <c r="A30" s="299"/>
      <c r="B30" s="299"/>
      <c r="C30" s="299"/>
    </row>
    <row r="31" spans="1:3" ht="20.25">
      <c r="A31" s="299"/>
      <c r="B31" s="299"/>
      <c r="C31" s="299"/>
    </row>
    <row r="32" spans="1:3" ht="20.25">
      <c r="A32" s="299"/>
      <c r="B32" s="299"/>
      <c r="C32" s="299"/>
    </row>
    <row r="33" spans="1:3">
      <c r="A33" s="107"/>
      <c r="B33" s="107"/>
      <c r="C33" s="107"/>
    </row>
    <row r="34" spans="1:3">
      <c r="A34" s="107"/>
      <c r="B34" s="107"/>
      <c r="C34" s="107"/>
    </row>
    <row r="35" spans="1:3" ht="15.75">
      <c r="A35" s="107"/>
      <c r="B35" s="108"/>
      <c r="C35" s="108"/>
    </row>
    <row r="36" spans="1:3">
      <c r="A36" s="109"/>
      <c r="B36" s="109"/>
      <c r="C36" s="109"/>
    </row>
  </sheetData>
  <mergeCells count="6">
    <mergeCell ref="A30:C30"/>
    <mergeCell ref="A31:C31"/>
    <mergeCell ref="A32:C32"/>
    <mergeCell ref="A1:C1"/>
    <mergeCell ref="A2:C2"/>
    <mergeCell ref="A3:C3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 enableFormatConditionsCalculation="0">
    <tabColor rgb="FFFFFFCC"/>
  </sheetPr>
  <dimension ref="B1:F60"/>
  <sheetViews>
    <sheetView topLeftCell="A8" workbookViewId="0">
      <selection activeCell="G19" sqref="G19"/>
    </sheetView>
  </sheetViews>
  <sheetFormatPr defaultRowHeight="12.75"/>
  <cols>
    <col min="1" max="1" width="1.5703125" customWidth="1"/>
    <col min="2" max="2" width="58.140625" customWidth="1"/>
    <col min="3" max="3" width="26.7109375" customWidth="1"/>
    <col min="4" max="4" width="14.5703125" customWidth="1"/>
    <col min="5" max="5" width="14.28515625" customWidth="1"/>
    <col min="6" max="6" width="13" customWidth="1"/>
  </cols>
  <sheetData>
    <row r="1" spans="2:6" ht="14.25">
      <c r="B1" s="264" t="s">
        <v>37</v>
      </c>
      <c r="C1" s="264"/>
      <c r="D1" s="264"/>
    </row>
    <row r="2" spans="2:6" ht="14.25">
      <c r="B2" s="265" t="s">
        <v>128</v>
      </c>
      <c r="C2" s="265"/>
      <c r="D2" s="265"/>
    </row>
    <row r="3" spans="2:6" ht="14.25">
      <c r="B3" s="264" t="s">
        <v>344</v>
      </c>
      <c r="C3" s="264"/>
      <c r="D3" s="264"/>
    </row>
    <row r="4" spans="2:6" ht="15.75" thickBot="1">
      <c r="B4" s="57" t="s">
        <v>218</v>
      </c>
      <c r="C4" s="226">
        <f>'Свод 2020'!H11</f>
        <v>5358</v>
      </c>
      <c r="D4" s="217">
        <f>'Свод 2020'!J11</f>
        <v>20.88</v>
      </c>
      <c r="E4" s="22"/>
    </row>
    <row r="5" spans="2:6" ht="31.5" customHeight="1" thickBot="1">
      <c r="B5" s="36" t="s">
        <v>54</v>
      </c>
      <c r="C5" s="270" t="s">
        <v>150</v>
      </c>
      <c r="D5" s="271"/>
      <c r="E5" s="22">
        <f>'Свод 2020'!H11</f>
        <v>5358</v>
      </c>
    </row>
    <row r="6" spans="2:6" ht="30">
      <c r="B6" s="178" t="s">
        <v>321</v>
      </c>
      <c r="C6" s="272">
        <f>'Свод 2020'!K11</f>
        <v>390381.95000000042</v>
      </c>
      <c r="D6" s="273"/>
    </row>
    <row r="7" spans="2:6" ht="15">
      <c r="B7" s="40" t="s">
        <v>322</v>
      </c>
      <c r="C7" s="261">
        <f>'Свод 2020'!L11</f>
        <v>1311656.92</v>
      </c>
      <c r="D7" s="262"/>
    </row>
    <row r="8" spans="2:6" ht="15">
      <c r="B8" s="40" t="s">
        <v>323</v>
      </c>
      <c r="C8" s="261">
        <f>'Свод 2020'!M11</f>
        <v>1259034.4099999999</v>
      </c>
      <c r="D8" s="262"/>
    </row>
    <row r="9" spans="2:6" ht="15">
      <c r="B9" s="40" t="s">
        <v>127</v>
      </c>
      <c r="C9" s="261">
        <f>'Свод 2020'!N4</f>
        <v>0</v>
      </c>
      <c r="D9" s="262"/>
    </row>
    <row r="10" spans="2:6" ht="28.5">
      <c r="B10" s="41" t="s">
        <v>147</v>
      </c>
      <c r="C10" s="274">
        <f>C6+C7-C8-C9</f>
        <v>443004.46000000043</v>
      </c>
      <c r="D10" s="275"/>
      <c r="E10" s="22">
        <f>'Свод 2020'!O11</f>
        <v>443004.46000000043</v>
      </c>
      <c r="F10" s="125"/>
    </row>
    <row r="11" spans="2:6" ht="30">
      <c r="B11" s="178" t="s">
        <v>333</v>
      </c>
      <c r="C11" s="261">
        <f>'Свод 2020'!Q11</f>
        <v>3122.2799999999988</v>
      </c>
      <c r="D11" s="262"/>
    </row>
    <row r="12" spans="2:6" ht="15">
      <c r="B12" s="40" t="s">
        <v>324</v>
      </c>
      <c r="C12" s="261">
        <f>'Свод 2020'!R11</f>
        <v>99227.81</v>
      </c>
      <c r="D12" s="262"/>
    </row>
    <row r="13" spans="2:6" ht="15">
      <c r="B13" s="40" t="s">
        <v>325</v>
      </c>
      <c r="C13" s="261">
        <f>'Свод 2020'!S11</f>
        <v>96105.53</v>
      </c>
      <c r="D13" s="262"/>
    </row>
    <row r="14" spans="2:6" ht="28.5">
      <c r="B14" s="41" t="s">
        <v>151</v>
      </c>
      <c r="C14" s="274">
        <f>C11+C12-C13</f>
        <v>6244.5599999999977</v>
      </c>
      <c r="D14" s="275"/>
      <c r="E14" s="22">
        <f>'Свод 2020'!T11</f>
        <v>6244.5599999999977</v>
      </c>
      <c r="F14" s="22"/>
    </row>
    <row r="15" spans="2:6" ht="14.25">
      <c r="B15" s="266" t="s">
        <v>79</v>
      </c>
      <c r="C15" s="267"/>
      <c r="D15" s="268"/>
    </row>
    <row r="16" spans="2:6" ht="14.25">
      <c r="B16" s="266" t="s">
        <v>326</v>
      </c>
      <c r="C16" s="267"/>
      <c r="D16" s="268"/>
    </row>
    <row r="17" spans="2:5" ht="15">
      <c r="B17" s="43" t="s">
        <v>56</v>
      </c>
      <c r="C17" s="276" t="s">
        <v>57</v>
      </c>
      <c r="D17" s="278"/>
    </row>
    <row r="18" spans="2:5" ht="30.75" thickBot="1">
      <c r="B18" s="147" t="s">
        <v>132</v>
      </c>
      <c r="C18" s="277"/>
      <c r="D18" s="278"/>
    </row>
    <row r="19" spans="2:5" ht="89.25">
      <c r="B19" s="171" t="s">
        <v>156</v>
      </c>
      <c r="C19" s="150" t="s">
        <v>169</v>
      </c>
      <c r="D19" s="283">
        <f>'Свод 2020'!W11</f>
        <v>392848.56</v>
      </c>
    </row>
    <row r="20" spans="2:5" ht="15.75" thickBot="1">
      <c r="B20" s="158" t="s">
        <v>152</v>
      </c>
      <c r="C20" s="97" t="s">
        <v>143</v>
      </c>
      <c r="D20" s="284"/>
      <c r="E20" t="s">
        <v>180</v>
      </c>
    </row>
    <row r="21" spans="2:5" ht="30">
      <c r="B21" s="105" t="s">
        <v>160</v>
      </c>
      <c r="C21" s="106" t="s">
        <v>157</v>
      </c>
      <c r="D21" s="170">
        <f>'Свод 2020'!U11</f>
        <v>4500.72</v>
      </c>
    </row>
    <row r="22" spans="2:5" ht="15">
      <c r="B22" s="46" t="s">
        <v>134</v>
      </c>
      <c r="C22" s="47" t="s">
        <v>60</v>
      </c>
      <c r="D22" s="48">
        <f>'Свод 2020'!V11</f>
        <v>21570.42</v>
      </c>
    </row>
    <row r="23" spans="2:5" ht="30">
      <c r="B23" s="46" t="s">
        <v>161</v>
      </c>
      <c r="C23" s="94" t="s">
        <v>138</v>
      </c>
      <c r="D23" s="48">
        <f>'Свод 2020'!AA11+'Свод 2020'!Z11</f>
        <v>61081.2</v>
      </c>
    </row>
    <row r="24" spans="2:5" ht="28.5" customHeight="1">
      <c r="B24" s="124" t="s">
        <v>141</v>
      </c>
      <c r="C24" s="49" t="s">
        <v>140</v>
      </c>
      <c r="D24" s="209">
        <f>'Свод 2020'!AC11</f>
        <v>3799.8900000000003</v>
      </c>
    </row>
    <row r="25" spans="2:5" ht="28.5" customHeight="1">
      <c r="B25" s="154" t="s">
        <v>142</v>
      </c>
      <c r="C25" s="98" t="s">
        <v>143</v>
      </c>
      <c r="D25" s="215">
        <f>'Свод 2020'!AB11</f>
        <v>2571.84</v>
      </c>
    </row>
    <row r="26" spans="2:5" ht="21.75" customHeight="1">
      <c r="B26" s="202" t="s">
        <v>153</v>
      </c>
      <c r="C26" s="47" t="s">
        <v>59</v>
      </c>
      <c r="D26" s="203">
        <f>'Свод 2020'!AD11</f>
        <v>56580.480000000003</v>
      </c>
    </row>
    <row r="27" spans="2:5" ht="30.75" customHeight="1">
      <c r="B27" s="105" t="s">
        <v>144</v>
      </c>
      <c r="C27" s="164" t="s">
        <v>135</v>
      </c>
      <c r="D27" s="283">
        <f>'Свод 2020'!AE11</f>
        <v>208319.04</v>
      </c>
    </row>
    <row r="28" spans="2:5" ht="30.75" hidden="1" customHeight="1">
      <c r="B28" s="96" t="s">
        <v>4</v>
      </c>
      <c r="C28" s="97" t="s">
        <v>5</v>
      </c>
      <c r="D28" s="283"/>
    </row>
    <row r="29" spans="2:5" ht="15">
      <c r="B29" s="149" t="s">
        <v>136</v>
      </c>
      <c r="C29" s="98" t="s">
        <v>137</v>
      </c>
      <c r="D29" s="283"/>
    </row>
    <row r="30" spans="2:5" ht="30.75" thickBot="1">
      <c r="B30" s="177" t="s">
        <v>4</v>
      </c>
      <c r="C30" s="159" t="s">
        <v>5</v>
      </c>
      <c r="D30" s="284"/>
    </row>
    <row r="31" spans="2:5" ht="30">
      <c r="B31" s="175" t="s">
        <v>158</v>
      </c>
      <c r="C31" s="164" t="s">
        <v>166</v>
      </c>
      <c r="D31" s="176">
        <f>'Свод 2020'!AG11</f>
        <v>92586.240000000005</v>
      </c>
    </row>
    <row r="32" spans="2:5" ht="30">
      <c r="B32" s="148" t="s">
        <v>133</v>
      </c>
      <c r="C32" s="53"/>
      <c r="D32" s="54"/>
    </row>
    <row r="33" spans="2:5" ht="59.25">
      <c r="B33" s="124" t="s">
        <v>182</v>
      </c>
      <c r="C33" s="94" t="s">
        <v>181</v>
      </c>
      <c r="D33" s="89">
        <f>'Свод 2020'!AI11</f>
        <v>199960.56</v>
      </c>
    </row>
    <row r="34" spans="2:5" ht="60.75" thickBot="1">
      <c r="B34" s="148" t="s">
        <v>162</v>
      </c>
      <c r="C34" s="151"/>
      <c r="D34" s="89"/>
    </row>
    <row r="35" spans="2:5" ht="15">
      <c r="B35" s="155" t="s">
        <v>129</v>
      </c>
      <c r="C35" s="156"/>
      <c r="D35" s="157"/>
    </row>
    <row r="36" spans="2:5" ht="120.75" thickBot="1">
      <c r="B36" s="158" t="s">
        <v>154</v>
      </c>
      <c r="C36" s="159" t="s">
        <v>139</v>
      </c>
      <c r="D36" s="160">
        <f>'Свод 2020'!AK11</f>
        <v>61081.2</v>
      </c>
    </row>
    <row r="37" spans="2:5" ht="15">
      <c r="B37" s="155" t="s">
        <v>130</v>
      </c>
      <c r="C37" s="161"/>
      <c r="D37" s="162"/>
    </row>
    <row r="38" spans="2:5" ht="45.75" thickBot="1">
      <c r="B38" s="158" t="s">
        <v>155</v>
      </c>
      <c r="C38" s="159" t="s">
        <v>139</v>
      </c>
      <c r="D38" s="163">
        <f>'Свод 2020'!AL11</f>
        <v>54008.639999999999</v>
      </c>
    </row>
    <row r="39" spans="2:5" ht="15">
      <c r="B39" s="155" t="s">
        <v>131</v>
      </c>
      <c r="C39" s="165"/>
      <c r="D39" s="166"/>
    </row>
    <row r="40" spans="2:5" ht="44.25" customHeight="1" thickBot="1">
      <c r="B40" s="158" t="s">
        <v>148</v>
      </c>
      <c r="C40" s="159" t="s">
        <v>139</v>
      </c>
      <c r="D40" s="163">
        <f>'Свод 2020'!AM11</f>
        <v>150105.16</v>
      </c>
    </row>
    <row r="41" spans="2:5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2020'!AJ11</f>
        <v>104802.48</v>
      </c>
      <c r="E42" s="22">
        <f>D43-C8-C13</f>
        <v>58676.489999999787</v>
      </c>
    </row>
    <row r="43" spans="2:5" ht="15" thickBot="1">
      <c r="B43" s="229" t="s">
        <v>253</v>
      </c>
      <c r="C43" s="230"/>
      <c r="D43" s="231">
        <f>SUM(D19:D42)</f>
        <v>1413816.4299999997</v>
      </c>
      <c r="E43" s="22"/>
    </row>
    <row r="44" spans="2:5" ht="15" customHeight="1">
      <c r="B44" s="169" t="s">
        <v>145</v>
      </c>
      <c r="C44" s="279" t="s">
        <v>146</v>
      </c>
      <c r="D44" s="280"/>
    </row>
    <row r="45" spans="2:5" ht="52.5" customHeight="1" thickBot="1">
      <c r="B45" s="153" t="s">
        <v>159</v>
      </c>
      <c r="C45" s="281"/>
      <c r="D45" s="282"/>
    </row>
    <row r="46" spans="2:5" ht="14.25">
      <c r="B46" s="269" t="s">
        <v>227</v>
      </c>
      <c r="C46" s="269"/>
      <c r="D46" s="269"/>
    </row>
    <row r="47" spans="2:5" ht="14.25">
      <c r="B47" s="121"/>
      <c r="C47" s="121"/>
      <c r="D47" s="121"/>
    </row>
    <row r="48" spans="2:5">
      <c r="B48" s="19"/>
      <c r="C48" s="19"/>
      <c r="D48" s="18"/>
    </row>
    <row r="49" spans="2:4" ht="20.25">
      <c r="B49" s="263" t="s">
        <v>87</v>
      </c>
      <c r="C49" s="263"/>
      <c r="D49" s="263"/>
    </row>
    <row r="50" spans="2:4" ht="20.25">
      <c r="B50" s="263" t="s">
        <v>50</v>
      </c>
      <c r="C50" s="263"/>
      <c r="D50" s="263"/>
    </row>
    <row r="51" spans="2:4" ht="20.25">
      <c r="B51" s="263" t="s">
        <v>49</v>
      </c>
      <c r="C51" s="263"/>
      <c r="D51" s="263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 ht="15.75">
      <c r="B54" s="102" t="s">
        <v>64</v>
      </c>
      <c r="C54" s="102"/>
    </row>
    <row r="60" spans="2:4" ht="20.25">
      <c r="B60" s="103"/>
    </row>
  </sheetData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honeticPr fontId="0" type="noConversion"/>
  <pageMargins left="0.24" right="0.24" top="0.21" bottom="0.23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85</vt:i4>
      </vt:variant>
    </vt:vector>
  </HeadingPairs>
  <TitlesOfParts>
    <vt:vector size="85" baseType="lpstr">
      <vt:lpstr>Свод 2020</vt:lpstr>
      <vt:lpstr>1.  Анкудинова 1 </vt:lpstr>
      <vt:lpstr>2.  Анкудинова 3</vt:lpstr>
      <vt:lpstr>3.  Анкудинова 5</vt:lpstr>
      <vt:lpstr>4.  Анкудинова 7</vt:lpstr>
      <vt:lpstr>5.  Анкудинова 9</vt:lpstr>
      <vt:lpstr>6.  Анкудинова 11</vt:lpstr>
      <vt:lpstr>7.  Анкудинова 13</vt:lpstr>
      <vt:lpstr>9.  Анкудинова 17</vt:lpstr>
      <vt:lpstr>12.  Анкудинова  11А </vt:lpstr>
      <vt:lpstr>13.  Анкудинова 17А </vt:lpstr>
      <vt:lpstr>10.  Анкудинова 3Б</vt:lpstr>
      <vt:lpstr>11.  Анкудинова 5А</vt:lpstr>
      <vt:lpstr>14. Тихоокеанская 27</vt:lpstr>
      <vt:lpstr>15. Горького 12</vt:lpstr>
      <vt:lpstr>16. Горького 11б</vt:lpstr>
      <vt:lpstr>16. Горького 14</vt:lpstr>
      <vt:lpstr>17. Горького 16</vt:lpstr>
      <vt:lpstr>18. Горького 18</vt:lpstr>
      <vt:lpstr>18. Горького 18 а</vt:lpstr>
      <vt:lpstr>19. Горького 20</vt:lpstr>
      <vt:lpstr>20. Горького 22</vt:lpstr>
      <vt:lpstr>21. Горького 14А</vt:lpstr>
      <vt:lpstr>Горького 20А</vt:lpstr>
      <vt:lpstr>Дзержинского 12</vt:lpstr>
      <vt:lpstr>Дзержинского 12а</vt:lpstr>
      <vt:lpstr>23. Комсомольская 165</vt:lpstr>
      <vt:lpstr>24. Комсомольская 167</vt:lpstr>
      <vt:lpstr>25. Комсомольская 169</vt:lpstr>
      <vt:lpstr>28.  Комсомольская 191</vt:lpstr>
      <vt:lpstr>29.  Комсомольская 193</vt:lpstr>
      <vt:lpstr>30.  Комсомольская 195</vt:lpstr>
      <vt:lpstr>32. Комсомольская 167А</vt:lpstr>
      <vt:lpstr>35.  пр.Мира 157</vt:lpstr>
      <vt:lpstr>36.  пр .Мира 161</vt:lpstr>
      <vt:lpstr>37.  пр.Мира 163</vt:lpstr>
      <vt:lpstr>38. Мира 161-А</vt:lpstr>
      <vt:lpstr>39.  пр.Мира 163А </vt:lpstr>
      <vt:lpstr>40. Победы 4 </vt:lpstr>
      <vt:lpstr>41. Победы 6</vt:lpstr>
      <vt:lpstr>Победы 6А -2</vt:lpstr>
      <vt:lpstr>42. Победы 6-А-1</vt:lpstr>
      <vt:lpstr>42. Победы 6-Б</vt:lpstr>
      <vt:lpstr>43. Победы 8</vt:lpstr>
      <vt:lpstr>44. Победы 10</vt:lpstr>
      <vt:lpstr>45. Победы 10-Б</vt:lpstr>
      <vt:lpstr>46. Победы 12</vt:lpstr>
      <vt:lpstr>47. Победы 14</vt:lpstr>
      <vt:lpstr>48. Победы 16</vt:lpstr>
      <vt:lpstr>49. Победы 18</vt:lpstr>
      <vt:lpstr>50. Победы 26</vt:lpstr>
      <vt:lpstr>51. Победы 48</vt:lpstr>
      <vt:lpstr>52.  пр.Победы 50</vt:lpstr>
      <vt:lpstr>54.  пр.Победы 12А </vt:lpstr>
      <vt:lpstr>62.  Поповича 14</vt:lpstr>
      <vt:lpstr>Поповича 21</vt:lpstr>
      <vt:lpstr>71.  Поповича 43</vt:lpstr>
      <vt:lpstr>72.  Поповича 45</vt:lpstr>
      <vt:lpstr>73.  Поповича 47</vt:lpstr>
      <vt:lpstr>80.  Поповича 18А</vt:lpstr>
      <vt:lpstr>87.  Поповича 20А</vt:lpstr>
      <vt:lpstr>91.  Поповича 22А</vt:lpstr>
      <vt:lpstr>94.  Поповича 24А</vt:lpstr>
      <vt:lpstr>96.  Поповича 45А</vt:lpstr>
      <vt:lpstr>68.  Поповича 25 </vt:lpstr>
      <vt:lpstr>95.  Поповича 43А</vt:lpstr>
      <vt:lpstr>Невельского 4</vt:lpstr>
      <vt:lpstr>Невелская 14-1</vt:lpstr>
      <vt:lpstr>Невелская 14-2</vt:lpstr>
      <vt:lpstr>Озерная 2а</vt:lpstr>
      <vt:lpstr>Озерная 2б</vt:lpstr>
      <vt:lpstr>Сахалинская 13</vt:lpstr>
      <vt:lpstr>Фабричная 14А</vt:lpstr>
      <vt:lpstr>Емельянова 43</vt:lpstr>
      <vt:lpstr>98.  Физкультурная 120</vt:lpstr>
      <vt:lpstr>98.  Физкультурная 122</vt:lpstr>
      <vt:lpstr>99.  Физкультурная 124</vt:lpstr>
      <vt:lpstr>100.  Физкультурная 126</vt:lpstr>
      <vt:lpstr>101.  Физкультурная 128</vt:lpstr>
      <vt:lpstr>102.  Физкультурная 130</vt:lpstr>
      <vt:lpstr>103.  Физкультурная 124А</vt:lpstr>
      <vt:lpstr>105.  Физкультурная 126А</vt:lpstr>
      <vt:lpstr>106.  Физкультурная 126Б</vt:lpstr>
      <vt:lpstr>Лист3</vt:lpstr>
      <vt:lpstr>Лист 2</vt:lpstr>
    </vt:vector>
  </TitlesOfParts>
  <Company>Жэу-7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2021-03-17T00:57:07Z</cp:lastPrinted>
  <dcterms:created xsi:type="dcterms:W3CDTF">2009-12-08T01:09:33Z</dcterms:created>
  <dcterms:modified xsi:type="dcterms:W3CDTF">2021-04-19T23:11:46Z</dcterms:modified>
</cp:coreProperties>
</file>